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istillers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<sst xmlns="http://schemas.openxmlformats.org/spreadsheetml/2006/main" count="308" uniqueCount="186">
  <si>
    <t xml:space="preserve">Feedlot Cattle - Corn Distillers Grains Interaction </t>
  </si>
  <si>
    <t xml:space="preserve">         </t>
  </si>
  <si>
    <t>Phosphorus and Nitrogen Excretion</t>
  </si>
  <si>
    <t>White boxes are Input boxes.</t>
  </si>
  <si>
    <t>DDGS = dry distillers grain, WDG = wet distillers grain, MDG = modified distillers grain, CCDS = condensed corn distillers grain solubles (syrup), /S = with solubles added</t>
  </si>
  <si>
    <t>INPUT</t>
  </si>
  <si>
    <t>current</t>
  </si>
  <si>
    <t>proposed</t>
  </si>
  <si>
    <t>Analysis of Distillers Grains</t>
  </si>
  <si>
    <t>Sample</t>
  </si>
  <si>
    <t>Analysis on a 100% Dry Matter Basis</t>
  </si>
  <si>
    <t>c</t>
  </si>
  <si>
    <t>p</t>
  </si>
  <si>
    <t>sub rate</t>
  </si>
  <si>
    <t>Cattle Management</t>
  </si>
  <si>
    <t>Plant</t>
  </si>
  <si>
    <t>Location</t>
  </si>
  <si>
    <t>Year</t>
  </si>
  <si>
    <t>DM%</t>
  </si>
  <si>
    <t>CP %</t>
  </si>
  <si>
    <t>Fat %</t>
  </si>
  <si>
    <t>Cr.Fiber %</t>
  </si>
  <si>
    <t>P %</t>
  </si>
  <si>
    <t>S %</t>
  </si>
  <si>
    <t>Na%</t>
  </si>
  <si>
    <t>Fe%</t>
  </si>
  <si>
    <t xml:space="preserve">   Cattle fed per year:</t>
  </si>
  <si>
    <t xml:space="preserve"> head</t>
  </si>
  <si>
    <t>Ag Bio</t>
  </si>
  <si>
    <t>Albert City, IA</t>
  </si>
  <si>
    <t xml:space="preserve">   Average In-Weight:</t>
  </si>
  <si>
    <t xml:space="preserve"> lbs.</t>
  </si>
  <si>
    <t>AGP</t>
  </si>
  <si>
    <t>Sioux City, IA</t>
  </si>
  <si>
    <t xml:space="preserve">   Average Out Weight:</t>
  </si>
  <si>
    <t>Amaizing Energy - DDG/S</t>
  </si>
  <si>
    <t>Denison, IA</t>
  </si>
  <si>
    <t xml:space="preserve">   Average Days Fed:</t>
  </si>
  <si>
    <t>Amaizing Energy - MDG/S</t>
  </si>
  <si>
    <t xml:space="preserve">   Average Dry Matter Intake:</t>
  </si>
  <si>
    <t>lb/hd/day</t>
  </si>
  <si>
    <t>Amaizing Energy - CCDS</t>
  </si>
  <si>
    <t>---</t>
  </si>
  <si>
    <t xml:space="preserve">   Ration Crude Protein (%): </t>
  </si>
  <si>
    <t xml:space="preserve">  %</t>
  </si>
  <si>
    <t>Big River Resources LLC - DDG/S</t>
  </si>
  <si>
    <t>W. Burlington, IA</t>
  </si>
  <si>
    <t xml:space="preserve">   Ration Phosphorus (%): </t>
  </si>
  <si>
    <t>Big River Resources LLC - MDG/S</t>
  </si>
  <si>
    <t xml:space="preserve">   Distillers in Ration on DM Basis (%):</t>
  </si>
  <si>
    <t>Corn LP - DDG/S</t>
  </si>
  <si>
    <t>Goldfield, IA</t>
  </si>
  <si>
    <t xml:space="preserve">   Distillers Source Plant &amp; Product :</t>
  </si>
  <si>
    <r>
      <t>0</t>
    </r>
    <r>
      <rPr>
        <sz val="10"/>
        <color indexed="12"/>
        <rFont val="Arial"/>
        <family val="0"/>
      </rPr>
      <t xml:space="preserve"> = unknown      </t>
    </r>
  </si>
  <si>
    <t>Corn LP - MDG/S</t>
  </si>
  <si>
    <t>see list for plant number &gt;&gt;&gt;&gt;</t>
  </si>
  <si>
    <t>Frontier Ethanol LLC</t>
  </si>
  <si>
    <t>Gowrie, IA</t>
  </si>
  <si>
    <t>Manure Management</t>
  </si>
  <si>
    <t>Golden Grain Energy LLC - DDG/S</t>
  </si>
  <si>
    <t>Mason City, IA</t>
  </si>
  <si>
    <t xml:space="preserve">   Climate:</t>
  </si>
  <si>
    <t>Golden Grain Energy LLC - MDG/S</t>
  </si>
  <si>
    <r>
      <t xml:space="preserve">       </t>
    </r>
    <r>
      <rPr>
        <b/>
        <i/>
        <sz val="10"/>
        <color indexed="12"/>
        <rFont val="Arial"/>
        <family val="0"/>
      </rPr>
      <t>1</t>
    </r>
    <r>
      <rPr>
        <sz val="10"/>
        <color indexed="12"/>
        <rFont val="Arial"/>
        <family val="0"/>
      </rPr>
      <t xml:space="preserve">= warm+dry, </t>
    </r>
    <r>
      <rPr>
        <b/>
        <i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= warm+damp </t>
    </r>
    <r>
      <rPr>
        <b/>
        <i/>
        <sz val="10"/>
        <color indexed="12"/>
        <rFont val="Arial"/>
        <family val="0"/>
      </rPr>
      <t>3</t>
    </r>
    <r>
      <rPr>
        <sz val="10"/>
        <color indexed="12"/>
        <rFont val="Arial"/>
        <family val="0"/>
      </rPr>
      <t xml:space="preserve">= cool+dry, </t>
    </r>
    <r>
      <rPr>
        <b/>
        <i/>
        <sz val="10"/>
        <color indexed="12"/>
        <rFont val="Arial"/>
        <family val="0"/>
      </rPr>
      <t>4</t>
    </r>
    <r>
      <rPr>
        <sz val="10"/>
        <color indexed="12"/>
        <rFont val="Arial"/>
        <family val="0"/>
      </rPr>
      <t xml:space="preserve">=cool+damp, </t>
    </r>
    <r>
      <rPr>
        <b/>
        <i/>
        <sz val="10"/>
        <color indexed="12"/>
        <rFont val="Arial"/>
        <family val="0"/>
      </rPr>
      <t>5</t>
    </r>
    <r>
      <rPr>
        <sz val="10"/>
        <color indexed="12"/>
        <rFont val="Arial"/>
        <family val="0"/>
      </rPr>
      <t>= combination</t>
    </r>
  </si>
  <si>
    <t>Green Plains Renewable Energy</t>
  </si>
  <si>
    <t>Shenandoah, IA</t>
  </si>
  <si>
    <t xml:space="preserve">   Animal Housing:</t>
  </si>
  <si>
    <r>
      <t xml:space="preserve">       </t>
    </r>
    <r>
      <rPr>
        <b/>
        <i/>
        <sz val="10"/>
        <color indexed="12"/>
        <rFont val="Arial"/>
        <family val="0"/>
      </rPr>
      <t>1</t>
    </r>
    <r>
      <rPr>
        <sz val="10"/>
        <color indexed="12"/>
        <rFont val="Arial"/>
        <family val="0"/>
      </rPr>
      <t xml:space="preserve">= open lots+minimal scraping, </t>
    </r>
    <r>
      <rPr>
        <b/>
        <i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>= open lots+frequent scraping</t>
    </r>
  </si>
  <si>
    <t>Grain Processing Corp</t>
  </si>
  <si>
    <t>Muscatine, IA</t>
  </si>
  <si>
    <r>
      <t xml:space="preserve">       </t>
    </r>
    <r>
      <rPr>
        <b/>
        <i/>
        <sz val="10"/>
        <color indexed="12"/>
        <rFont val="Arial"/>
        <family val="0"/>
      </rPr>
      <t>3</t>
    </r>
    <r>
      <rPr>
        <sz val="10"/>
        <color indexed="12"/>
        <rFont val="Arial"/>
        <family val="0"/>
      </rPr>
      <t xml:space="preserve">=roof+bedded pack, </t>
    </r>
    <r>
      <rPr>
        <b/>
        <i/>
        <sz val="10"/>
        <color indexed="12"/>
        <rFont val="Arial"/>
        <family val="0"/>
      </rPr>
      <t>4</t>
    </r>
    <r>
      <rPr>
        <sz val="10"/>
        <color indexed="12"/>
        <rFont val="Arial"/>
        <family val="0"/>
      </rPr>
      <t>=roof+deep pit</t>
    </r>
  </si>
  <si>
    <t>Hawkeye Renewables</t>
  </si>
  <si>
    <t>Iowa Falls, IA</t>
  </si>
  <si>
    <t xml:space="preserve">   Manure Storage:</t>
  </si>
  <si>
    <t>Fairbank, IA</t>
  </si>
  <si>
    <r>
      <t xml:space="preserve">       </t>
    </r>
    <r>
      <rPr>
        <b/>
        <i/>
        <sz val="10"/>
        <color indexed="12"/>
        <rFont val="Arial"/>
        <family val="0"/>
      </rPr>
      <t>1</t>
    </r>
    <r>
      <rPr>
        <sz val="10"/>
        <color indexed="12"/>
        <rFont val="Arial"/>
        <family val="0"/>
      </rPr>
      <t xml:space="preserve">= stockpile, no turning, </t>
    </r>
    <r>
      <rPr>
        <b/>
        <i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= compost, </t>
    </r>
    <r>
      <rPr>
        <b/>
        <i/>
        <sz val="10"/>
        <color indexed="12"/>
        <rFont val="Arial"/>
        <family val="0"/>
      </rPr>
      <t>3</t>
    </r>
    <r>
      <rPr>
        <sz val="10"/>
        <color indexed="12"/>
        <rFont val="Arial"/>
        <family val="0"/>
      </rPr>
      <t>= compost+extra carbon source</t>
    </r>
  </si>
  <si>
    <t>Horizon Ethanol</t>
  </si>
  <si>
    <t>Jewell, IA</t>
  </si>
  <si>
    <r>
      <t xml:space="preserve">       </t>
    </r>
    <r>
      <rPr>
        <b/>
        <i/>
        <sz val="10"/>
        <color indexed="12"/>
        <rFont val="Arial"/>
        <family val="0"/>
      </rPr>
      <t>4</t>
    </r>
    <r>
      <rPr>
        <sz val="10"/>
        <color indexed="12"/>
        <rFont val="Arial"/>
        <family val="0"/>
      </rPr>
      <t xml:space="preserve">= runoff holding pond, </t>
    </r>
    <r>
      <rPr>
        <b/>
        <i/>
        <sz val="10"/>
        <color indexed="12"/>
        <rFont val="Arial"/>
        <family val="0"/>
      </rPr>
      <t>5</t>
    </r>
    <r>
      <rPr>
        <sz val="10"/>
        <color indexed="12"/>
        <rFont val="Arial"/>
        <family val="0"/>
      </rPr>
      <t xml:space="preserve">= earthen basin, </t>
    </r>
    <r>
      <rPr>
        <b/>
        <i/>
        <sz val="10"/>
        <color indexed="12"/>
        <rFont val="Arial"/>
        <family val="0"/>
      </rPr>
      <t>6</t>
    </r>
    <r>
      <rPr>
        <sz val="10"/>
        <color indexed="12"/>
        <rFont val="Arial"/>
        <family val="0"/>
      </rPr>
      <t>= formed storage-bottom load</t>
    </r>
  </si>
  <si>
    <t>Iowa Ethanol LLC</t>
  </si>
  <si>
    <t>Hanlontown, IA</t>
  </si>
  <si>
    <r>
      <t xml:space="preserve">       </t>
    </r>
    <r>
      <rPr>
        <b/>
        <i/>
        <sz val="10"/>
        <color indexed="12"/>
        <rFont val="Arial"/>
        <family val="0"/>
      </rPr>
      <t>7</t>
    </r>
    <r>
      <rPr>
        <sz val="10"/>
        <color indexed="12"/>
        <rFont val="Arial"/>
        <family val="0"/>
      </rPr>
      <t xml:space="preserve">= formed storage-top load, </t>
    </r>
    <r>
      <rPr>
        <b/>
        <i/>
        <sz val="10"/>
        <color indexed="12"/>
        <rFont val="Arial"/>
        <family val="0"/>
      </rPr>
      <t>8</t>
    </r>
    <r>
      <rPr>
        <sz val="10"/>
        <color indexed="12"/>
        <rFont val="Arial"/>
        <family val="0"/>
      </rPr>
      <t xml:space="preserve">= anaerobic lagoon, </t>
    </r>
    <r>
      <rPr>
        <b/>
        <i/>
        <sz val="10"/>
        <color indexed="12"/>
        <rFont val="Arial"/>
        <family val="0"/>
      </rPr>
      <t>9</t>
    </r>
    <r>
      <rPr>
        <sz val="10"/>
        <color indexed="12"/>
        <rFont val="Arial"/>
        <family val="0"/>
      </rPr>
      <t>= deep pit,</t>
    </r>
  </si>
  <si>
    <t>Lincolnway Energy - DDG/S</t>
  </si>
  <si>
    <t>Nevada, IA</t>
  </si>
  <si>
    <t xml:space="preserve">       bedded pack, or daily scrape &amp; haul</t>
  </si>
  <si>
    <t>Little Sioux Corn Processors - DDG/S</t>
  </si>
  <si>
    <t>Marcus, IA</t>
  </si>
  <si>
    <t>Little Sioux Corn Processors MDG/S</t>
  </si>
  <si>
    <t>Little Sioux Corn Processors - CCDS</t>
  </si>
  <si>
    <t>Midwest Renewables</t>
  </si>
  <si>
    <t>OUTPUT</t>
  </si>
  <si>
    <t>Midwest Grain Processors Coop - DDG/S</t>
  </si>
  <si>
    <t>Lakota, IA</t>
  </si>
  <si>
    <t>per head = per head finished</t>
  </si>
  <si>
    <t>Midwest Grain Processors Coop - WDG/S</t>
  </si>
  <si>
    <t xml:space="preserve">   Phosphorus excretion - per head:</t>
  </si>
  <si>
    <t xml:space="preserve">  lbs.</t>
  </si>
  <si>
    <t>Midwest Grain Processors Coop - MDG/S</t>
  </si>
  <si>
    <t>feedyard</t>
  </si>
  <si>
    <t xml:space="preserve">    - per year:</t>
  </si>
  <si>
    <t xml:space="preserve">  tons</t>
  </si>
  <si>
    <t>Midwest Grain Processors Coop - CCDS</t>
  </si>
  <si>
    <r>
      <t xml:space="preserve">   P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sz val="8"/>
        <rFont val="Arial"/>
        <family val="2"/>
      </rPr>
      <t>5</t>
    </r>
    <r>
      <rPr>
        <b/>
        <sz val="10"/>
        <rFont val="Arial"/>
        <family val="2"/>
      </rPr>
      <t xml:space="preserve"> discharge    </t>
    </r>
  </si>
  <si>
    <t xml:space="preserve">    - per head:</t>
  </si>
  <si>
    <t>Otter Creek Ethanol LLC</t>
  </si>
  <si>
    <t>Ashton, IA</t>
  </si>
  <si>
    <t>Pine Lake Corn Processors LLC</t>
  </si>
  <si>
    <t>Steamboat Rock, IA</t>
  </si>
  <si>
    <t>Quad-County Corn Processors - DDG</t>
  </si>
  <si>
    <t>Galva, IA</t>
  </si>
  <si>
    <t xml:space="preserve">   Nitrogen excretion -  per head:</t>
  </si>
  <si>
    <t>Quad-County Corn Processors - WDG</t>
  </si>
  <si>
    <t>- per year:</t>
  </si>
  <si>
    <t>Quad-County Corn Processors - CCDS</t>
  </si>
  <si>
    <t xml:space="preserve">   Percent of N volatilization:</t>
  </si>
  <si>
    <t>Siouxland Energy and Lvstk.LLC - WDG/S</t>
  </si>
  <si>
    <t>Sioux Center, IA</t>
  </si>
  <si>
    <t xml:space="preserve">   N available after loss -per head:</t>
  </si>
  <si>
    <t>Siouxland Energy and Lvstk.LLC - CCDS</t>
  </si>
  <si>
    <t xml:space="preserve">     - per year:</t>
  </si>
  <si>
    <t>Tall Corn Ethanol LLC</t>
  </si>
  <si>
    <t>Coon Rapids, IA</t>
  </si>
  <si>
    <t>U.S. Bio Energy</t>
  </si>
  <si>
    <t>VeraSun</t>
  </si>
  <si>
    <t>Charles City, IA</t>
  </si>
  <si>
    <t>VeraSun - DDG/S</t>
  </si>
  <si>
    <t>Ft. Dodge, IA</t>
  </si>
  <si>
    <t>VeraSun - MDG/S</t>
  </si>
  <si>
    <t>Voyager Ethanol</t>
  </si>
  <si>
    <t>Emmitsburg, IA</t>
  </si>
  <si>
    <t>Xethanol - WDG/S</t>
  </si>
  <si>
    <t>Blairstown, IA</t>
  </si>
  <si>
    <t>Adkins Energy LLC</t>
  </si>
  <si>
    <t>Galena, IL</t>
  </si>
  <si>
    <t>Archer Daniels Midland</t>
  </si>
  <si>
    <t>Peoria, IL</t>
  </si>
  <si>
    <t>Lincolnland Agri-Energy LLC</t>
  </si>
  <si>
    <t>Palistine, IL</t>
  </si>
  <si>
    <t>MGP Ingredients Inc</t>
  </si>
  <si>
    <t>Pekin, IL</t>
  </si>
  <si>
    <t>Agri-Energy LLC</t>
  </si>
  <si>
    <t>Luverne, MN</t>
  </si>
  <si>
    <t>Al-Corn Clean Fuel</t>
  </si>
  <si>
    <t>Claremont, MN</t>
  </si>
  <si>
    <t>Central Minnesota Ethanol Coop</t>
  </si>
  <si>
    <t>Little Falls, MN</t>
  </si>
  <si>
    <t>Chippewa Valley Ethanol Co LLLP</t>
  </si>
  <si>
    <t>Benson, MN</t>
  </si>
  <si>
    <t>Corn Plus Coop</t>
  </si>
  <si>
    <t>Winnebago, MN</t>
  </si>
  <si>
    <t>Heartland Corn Products</t>
  </si>
  <si>
    <t>Winthrop, MN</t>
  </si>
  <si>
    <t>Minnesota Energy</t>
  </si>
  <si>
    <t>Buffalo Lake, MN</t>
  </si>
  <si>
    <t>Morris Ag Energy / Diversified Energy CO (DENCO)</t>
  </si>
  <si>
    <t>Morris, MN</t>
  </si>
  <si>
    <t>Golden Triangle Energy</t>
  </si>
  <si>
    <t>Craig, MO</t>
  </si>
  <si>
    <t>NE Missouri Grain Processors</t>
  </si>
  <si>
    <t>Macon, MO</t>
  </si>
  <si>
    <t>Abengoa Bioenergy Corp</t>
  </si>
  <si>
    <t>York, NE</t>
  </si>
  <si>
    <t>Nebraska Energy</t>
  </si>
  <si>
    <t>Aurora, NE</t>
  </si>
  <si>
    <t>Dakota Ethanol</t>
  </si>
  <si>
    <t>Wentworth, SD</t>
  </si>
  <si>
    <t>Glacial Lakes Energy LLC</t>
  </si>
  <si>
    <t>Watertown, SD</t>
  </si>
  <si>
    <t>VeraSun Energy Corp</t>
  </si>
  <si>
    <t>Aurora, SD</t>
  </si>
  <si>
    <t>Minimum %</t>
  </si>
  <si>
    <t>Maximum %</t>
  </si>
  <si>
    <t>JMJ</t>
  </si>
  <si>
    <t>Current</t>
  </si>
  <si>
    <t>Proposed</t>
  </si>
  <si>
    <t xml:space="preserve">   Animal Housing - current:</t>
  </si>
  <si>
    <t xml:space="preserve">   Animal Housing - proposed:</t>
  </si>
  <si>
    <t xml:space="preserve">   Manure Storage - current:</t>
  </si>
  <si>
    <t xml:space="preserve">   Manure Storage - proposed:</t>
  </si>
  <si>
    <t>Distillers Source Plant</t>
  </si>
  <si>
    <t>Product - % CP</t>
  </si>
  <si>
    <t>% P</t>
  </si>
  <si>
    <t>% S</t>
  </si>
  <si>
    <t xml:space="preserve">   P2O5 discharge    </t>
  </si>
  <si>
    <t xml:space="preserve">   Nitrogen available after loss -per head:</t>
  </si>
  <si>
    <t xml:space="preserve">           - per year: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</si>
</sst>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"/>
    <numFmt numFmtId="167" formatCode="0.0%"/>
  </numFmts>
  <fonts count="2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color indexed="17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color indexed="9"/>
      <name val="Arial"/>
      <family val="0"/>
    </font>
    <font>
      <i/>
      <sz val="8"/>
      <color indexed="9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4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12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i/>
      <sz val="8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6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6" fillId="3" borderId="5" xfId="0" applyNumberFormat="1" applyFont="1" applyFill="1" applyBorder="1" applyAlignment="1">
      <alignment/>
    </xf>
    <xf numFmtId="2" fontId="6" fillId="3" borderId="5" xfId="0" applyNumberFormat="1" applyFont="1" applyFill="1" applyBorder="1" applyAlignment="1">
      <alignment horizontal="center"/>
    </xf>
    <xf numFmtId="2" fontId="0" fillId="3" borderId="5" xfId="0" applyNumberFormat="1" applyFill="1" applyBorder="1" applyAlignment="1">
      <alignment/>
    </xf>
    <xf numFmtId="2" fontId="0" fillId="3" borderId="5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4" borderId="7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9" fillId="5" borderId="9" xfId="0" applyFont="1" applyFill="1" applyBorder="1" applyAlignment="1">
      <alignment/>
    </xf>
    <xf numFmtId="0" fontId="9" fillId="5" borderId="10" xfId="0" applyFont="1" applyFill="1" applyBorder="1" applyAlignment="1">
      <alignment/>
    </xf>
    <xf numFmtId="0" fontId="9" fillId="5" borderId="10" xfId="0" applyFont="1" applyFill="1" applyBorder="1" applyAlignment="1">
      <alignment horizontal="left"/>
    </xf>
    <xf numFmtId="2" fontId="9" fillId="5" borderId="11" xfId="0" applyNumberFormat="1" applyFont="1" applyFill="1" applyBorder="1" applyAlignment="1">
      <alignment horizontal="center"/>
    </xf>
    <xf numFmtId="164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4" borderId="7" xfId="0" applyFont="1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12" fillId="0" borderId="13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/>
    </xf>
    <xf numFmtId="0" fontId="12" fillId="6" borderId="13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164" fontId="0" fillId="6" borderId="16" xfId="0" applyNumberFormat="1" applyFill="1" applyBorder="1" applyAlignment="1" applyProtection="1">
      <alignment horizontal="center"/>
      <protection locked="0"/>
    </xf>
    <xf numFmtId="164" fontId="0" fillId="6" borderId="12" xfId="0" applyNumberFormat="1" applyFill="1" applyBorder="1" applyAlignment="1" applyProtection="1">
      <alignment horizontal="center"/>
      <protection locked="0"/>
    </xf>
    <xf numFmtId="165" fontId="10" fillId="0" borderId="0" xfId="0" applyNumberFormat="1" applyFont="1" applyAlignment="1">
      <alignment/>
    </xf>
    <xf numFmtId="164" fontId="0" fillId="6" borderId="15" xfId="0" applyNumberFormat="1" applyFill="1" applyBorder="1" applyAlignment="1" applyProtection="1">
      <alignment horizontal="center"/>
      <protection locked="0"/>
    </xf>
    <xf numFmtId="164" fontId="0" fillId="6" borderId="14" xfId="0" applyNumberFormat="1" applyFill="1" applyBorder="1" applyAlignment="1" applyProtection="1">
      <alignment horizontal="center"/>
      <protection locked="0"/>
    </xf>
    <xf numFmtId="164" fontId="0" fillId="6" borderId="14" xfId="0" applyNumberFormat="1" applyFill="1" applyBorder="1" applyAlignment="1" applyProtection="1" quotePrefix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0" fillId="6" borderId="12" xfId="0" applyNumberForma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 locked="0"/>
    </xf>
    <xf numFmtId="0" fontId="14" fillId="4" borderId="0" xfId="0" applyFont="1" applyFill="1" applyBorder="1" applyAlignment="1">
      <alignment/>
    </xf>
    <xf numFmtId="2" fontId="15" fillId="4" borderId="0" xfId="0" applyNumberFormat="1" applyFon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/>
    </xf>
    <xf numFmtId="2" fontId="16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166" fontId="17" fillId="4" borderId="8" xfId="0" applyNumberFormat="1" applyFont="1" applyFill="1" applyBorder="1" applyAlignment="1">
      <alignment/>
    </xf>
    <xf numFmtId="0" fontId="17" fillId="4" borderId="8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18" fillId="6" borderId="13" xfId="20" applyFont="1" applyFill="1" applyBorder="1" applyAlignment="1" applyProtection="1">
      <alignment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16" fillId="4" borderId="7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0" xfId="0" applyFill="1" applyAlignment="1">
      <alignment/>
    </xf>
    <xf numFmtId="0" fontId="6" fillId="3" borderId="20" xfId="0" applyFont="1" applyFill="1" applyBorder="1" applyAlignment="1">
      <alignment/>
    </xf>
    <xf numFmtId="0" fontId="0" fillId="3" borderId="3" xfId="0" applyFill="1" applyBorder="1" applyAlignment="1">
      <alignment/>
    </xf>
    <xf numFmtId="0" fontId="6" fillId="3" borderId="3" xfId="0" applyFont="1" applyFill="1" applyBorder="1" applyAlignment="1">
      <alignment/>
    </xf>
    <xf numFmtId="0" fontId="0" fillId="3" borderId="21" xfId="0" applyFill="1" applyBorder="1" applyAlignment="1">
      <alignment/>
    </xf>
    <xf numFmtId="0" fontId="5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6" fillId="3" borderId="23" xfId="0" applyFont="1" applyFill="1" applyBorder="1" applyAlignment="1">
      <alignment/>
    </xf>
    <xf numFmtId="0" fontId="0" fillId="3" borderId="24" xfId="0" applyFill="1" applyBorder="1" applyAlignment="1">
      <alignment/>
    </xf>
    <xf numFmtId="0" fontId="4" fillId="7" borderId="7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12" fillId="7" borderId="7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164" fontId="0" fillId="6" borderId="12" xfId="0" applyNumberFormat="1" applyFill="1" applyBorder="1" applyAlignment="1">
      <alignment/>
    </xf>
    <xf numFmtId="0" fontId="13" fillId="7" borderId="0" xfId="0" applyFont="1" applyFill="1" applyBorder="1" applyAlignment="1">
      <alignment/>
    </xf>
    <xf numFmtId="0" fontId="13" fillId="7" borderId="8" xfId="0" applyFont="1" applyFill="1" applyBorder="1" applyAlignment="1">
      <alignment/>
    </xf>
    <xf numFmtId="0" fontId="12" fillId="7" borderId="0" xfId="0" applyFont="1" applyFill="1" applyBorder="1" applyAlignment="1">
      <alignment horizontal="right"/>
    </xf>
    <xf numFmtId="164" fontId="0" fillId="6" borderId="12" xfId="0" applyNumberFormat="1" applyFill="1" applyBorder="1" applyAlignment="1" applyProtection="1" quotePrefix="1">
      <alignment horizontal="center"/>
      <protection locked="0"/>
    </xf>
    <xf numFmtId="164" fontId="0" fillId="6" borderId="16" xfId="0" applyNumberFormat="1" applyFill="1" applyBorder="1" applyAlignment="1" applyProtection="1" quotePrefix="1">
      <alignment horizontal="center"/>
      <protection locked="0"/>
    </xf>
    <xf numFmtId="164" fontId="0" fillId="0" borderId="12" xfId="0" applyNumberFormat="1" applyFill="1" applyBorder="1" applyAlignment="1" applyProtection="1" quotePrefix="1">
      <alignment horizontal="center"/>
      <protection locked="0"/>
    </xf>
    <xf numFmtId="164" fontId="0" fillId="0" borderId="16" xfId="0" applyNumberFormat="1" applyFill="1" applyBorder="1" applyAlignment="1" applyProtection="1" quotePrefix="1">
      <alignment horizontal="center"/>
      <protection locked="0"/>
    </xf>
    <xf numFmtId="0" fontId="12" fillId="7" borderId="0" xfId="0" applyFont="1" applyFill="1" applyBorder="1" applyAlignment="1" quotePrefix="1">
      <alignment/>
    </xf>
    <xf numFmtId="167" fontId="0" fillId="6" borderId="12" xfId="0" applyNumberFormat="1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 quotePrefix="1">
      <alignment horizontal="center"/>
      <protection locked="0"/>
    </xf>
    <xf numFmtId="0" fontId="18" fillId="0" borderId="13" xfId="20" applyFont="1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 horizontal="center"/>
      <protection locked="0"/>
    </xf>
    <xf numFmtId="164" fontId="0" fillId="0" borderId="27" xfId="0" applyNumberFormat="1" applyFill="1" applyBorder="1" applyAlignment="1" applyProtection="1">
      <alignment horizontal="center"/>
      <protection locked="0"/>
    </xf>
    <xf numFmtId="164" fontId="0" fillId="0" borderId="26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164" fontId="0" fillId="0" borderId="26" xfId="0" applyNumberFormat="1" applyBorder="1" applyAlignment="1" applyProtection="1">
      <alignment horizontal="center"/>
      <protection locked="0"/>
    </xf>
    <xf numFmtId="0" fontId="12" fillId="5" borderId="28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/>
      <protection/>
    </xf>
    <xf numFmtId="0" fontId="0" fillId="5" borderId="29" xfId="0" applyFill="1" applyBorder="1" applyAlignment="1" applyProtection="1">
      <alignment horizontal="center"/>
      <protection/>
    </xf>
    <xf numFmtId="2" fontId="0" fillId="5" borderId="19" xfId="0" applyNumberFormat="1" applyFill="1" applyBorder="1" applyAlignment="1" applyProtection="1">
      <alignment horizontal="center"/>
      <protection/>
    </xf>
    <xf numFmtId="164" fontId="0" fillId="5" borderId="29" xfId="0" applyNumberFormat="1" applyFill="1" applyBorder="1" applyAlignment="1" applyProtection="1">
      <alignment horizontal="center"/>
      <protection/>
    </xf>
    <xf numFmtId="2" fontId="0" fillId="5" borderId="18" xfId="0" applyNumberFormat="1" applyFill="1" applyBorder="1" applyAlignment="1" applyProtection="1">
      <alignment horizontal="center"/>
      <protection/>
    </xf>
    <xf numFmtId="2" fontId="0" fillId="5" borderId="29" xfId="0" applyNumberFormat="1" applyFill="1" applyBorder="1" applyAlignment="1" applyProtection="1">
      <alignment horizontal="center"/>
      <protection/>
    </xf>
    <xf numFmtId="164" fontId="0" fillId="5" borderId="18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7" borderId="4" xfId="0" applyFont="1" applyFill="1" applyBorder="1" applyAlignment="1">
      <alignment/>
    </xf>
    <xf numFmtId="0" fontId="0" fillId="7" borderId="5" xfId="0" applyFill="1" applyBorder="1" applyAlignment="1">
      <alignment horizontal="center"/>
    </xf>
    <xf numFmtId="164" fontId="0" fillId="7" borderId="30" xfId="0" applyNumberFormat="1" applyFill="1" applyBorder="1" applyAlignment="1">
      <alignment horizontal="center"/>
    </xf>
    <xf numFmtId="0" fontId="0" fillId="7" borderId="17" xfId="0" applyFont="1" applyFill="1" applyBorder="1" applyAlignment="1">
      <alignment/>
    </xf>
    <xf numFmtId="0" fontId="0" fillId="7" borderId="18" xfId="0" applyFill="1" applyBorder="1" applyAlignment="1">
      <alignment horizontal="center"/>
    </xf>
    <xf numFmtId="164" fontId="0" fillId="7" borderId="31" xfId="0" applyNumberFormat="1" applyFill="1" applyBorder="1" applyAlignment="1">
      <alignment horizontal="center"/>
    </xf>
    <xf numFmtId="0" fontId="22" fillId="0" borderId="0" xfId="0" applyFont="1" applyAlignment="1">
      <alignment/>
    </xf>
    <xf numFmtId="0" fontId="22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164" fontId="0" fillId="0" borderId="32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12" fillId="0" borderId="29" xfId="0" applyFont="1" applyFill="1" applyBorder="1" applyAlignment="1" applyProtection="1">
      <alignment/>
      <protection/>
    </xf>
    <xf numFmtId="0" fontId="12" fillId="0" borderId="33" xfId="0" applyFont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64" fontId="0" fillId="0" borderId="32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164" fontId="0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5" fillId="0" borderId="0" xfId="0" applyFont="1" applyAlignment="1">
      <alignment/>
    </xf>
    <xf numFmtId="0" fontId="26" fillId="2" borderId="0" xfId="0" applyFont="1" applyFill="1" applyAlignment="1">
      <alignment/>
    </xf>
    <xf numFmtId="0" fontId="19" fillId="0" borderId="13" xfId="20" applyBorder="1" applyAlignment="1" applyProtection="1">
      <alignment/>
      <protection locked="0"/>
    </xf>
    <xf numFmtId="0" fontId="19" fillId="6" borderId="13" xfId="20" applyFill="1" applyBorder="1" applyAlignment="1" applyProtection="1">
      <alignment/>
      <protection locked="0"/>
    </xf>
    <xf numFmtId="0" fontId="19" fillId="0" borderId="13" xfId="20" applyFill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6" borderId="13" xfId="20" applyFont="1" applyFill="1" applyBorder="1" applyAlignment="1" applyProtection="1">
      <alignment/>
      <protection locked="0"/>
    </xf>
    <xf numFmtId="0" fontId="0" fillId="0" borderId="13" xfId="2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B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28575</xdr:rowOff>
    </xdr:from>
    <xdr:to>
      <xdr:col>5</xdr:col>
      <xdr:colOff>314325</xdr:colOff>
      <xdr:row>3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0414" r="65852"/>
        <a:stretch>
          <a:fillRect/>
        </a:stretch>
      </xdr:blipFill>
      <xdr:spPr>
        <a:xfrm>
          <a:off x="2047875" y="28575"/>
          <a:ext cx="7620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19050</xdr:rowOff>
    </xdr:from>
    <xdr:to>
      <xdr:col>3</xdr:col>
      <xdr:colOff>28575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"/>
          <a:ext cx="1371600" cy="400050"/>
        </a:xfrm>
        <a:prstGeom prst="rect">
          <a:avLst/>
        </a:prstGeom>
        <a:noFill/>
        <a:ln w="38100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128</xdr:row>
      <xdr:rowOff>9525</xdr:rowOff>
    </xdr:from>
    <xdr:to>
      <xdr:col>3</xdr:col>
      <xdr:colOff>28575</xdr:colOff>
      <xdr:row>130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698450"/>
          <a:ext cx="1238250" cy="361950"/>
        </a:xfrm>
        <a:prstGeom prst="rect">
          <a:avLst/>
        </a:prstGeom>
        <a:noFill/>
        <a:ln w="38100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2</xdr:row>
      <xdr:rowOff>104775</xdr:rowOff>
    </xdr:from>
    <xdr:to>
      <xdr:col>4</xdr:col>
      <xdr:colOff>0</xdr:colOff>
      <xdr:row>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28625"/>
          <a:ext cx="19431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dgs.umn.edu/profiles/profiles10-dakota_ethanol.pdf" TargetMode="External" /><Relationship Id="rId2" Type="http://schemas.openxmlformats.org/officeDocument/2006/relationships/hyperlink" Target="http://www.ddgs.umn.edu/profiles/profiles10-glacial_lakes.pdf" TargetMode="External" /><Relationship Id="rId3" Type="http://schemas.openxmlformats.org/officeDocument/2006/relationships/hyperlink" Target="http://www.ddgs.umn.edu/profiles/profiles10-verasun-aurora.pdf" TargetMode="External" /><Relationship Id="rId4" Type="http://schemas.openxmlformats.org/officeDocument/2006/relationships/hyperlink" Target="http://www.agp.com/" TargetMode="External" /><Relationship Id="rId5" Type="http://schemas.openxmlformats.org/officeDocument/2006/relationships/hyperlink" Target="http://www.amzenergy.com/" TargetMode="External" /><Relationship Id="rId6" Type="http://schemas.openxmlformats.org/officeDocument/2006/relationships/hyperlink" Target="http://www.amzenergy.com/" TargetMode="External" /><Relationship Id="rId7" Type="http://schemas.openxmlformats.org/officeDocument/2006/relationships/hyperlink" Target="http://www.amzenergy.com/" TargetMode="External" /><Relationship Id="rId8" Type="http://schemas.openxmlformats.org/officeDocument/2006/relationships/hyperlink" Target="http://www.bigriverresources.com/" TargetMode="External" /><Relationship Id="rId9" Type="http://schemas.openxmlformats.org/officeDocument/2006/relationships/hyperlink" Target="http://www.bigriverresources.com/" TargetMode="External" /><Relationship Id="rId10" Type="http://schemas.openxmlformats.org/officeDocument/2006/relationships/hyperlink" Target="http://www.cornlp.com/" TargetMode="External" /><Relationship Id="rId11" Type="http://schemas.openxmlformats.org/officeDocument/2006/relationships/hyperlink" Target="http://www.cornlp.com/" TargetMode="External" /><Relationship Id="rId12" Type="http://schemas.openxmlformats.org/officeDocument/2006/relationships/hyperlink" Target="http://www.frontierethanol.com/" TargetMode="External" /><Relationship Id="rId13" Type="http://schemas.openxmlformats.org/officeDocument/2006/relationships/hyperlink" Target="http://www.goldengrainenergy.com/" TargetMode="External" /><Relationship Id="rId14" Type="http://schemas.openxmlformats.org/officeDocument/2006/relationships/hyperlink" Target="http://www.goldengrainenergy.com/" TargetMode="External" /><Relationship Id="rId15" Type="http://schemas.openxmlformats.org/officeDocument/2006/relationships/hyperlink" Target="http://www.gpreethanol.com/" TargetMode="External" /><Relationship Id="rId16" Type="http://schemas.openxmlformats.org/officeDocument/2006/relationships/hyperlink" Target="http://www.gpreethanol.com/" TargetMode="External" /><Relationship Id="rId17" Type="http://schemas.openxmlformats.org/officeDocument/2006/relationships/hyperlink" Target="http://www.grainprocessing.com/" TargetMode="External" /><Relationship Id="rId18" Type="http://schemas.openxmlformats.org/officeDocument/2006/relationships/hyperlink" Target="http://www.hawkrenew.com/" TargetMode="External" /><Relationship Id="rId19" Type="http://schemas.openxmlformats.org/officeDocument/2006/relationships/hyperlink" Target="http://www.hawkrenew.com/" TargetMode="External" /><Relationship Id="rId20" Type="http://schemas.openxmlformats.org/officeDocument/2006/relationships/hyperlink" Target="http://www.horizonethanol.com/" TargetMode="External" /><Relationship Id="rId21" Type="http://schemas.openxmlformats.org/officeDocument/2006/relationships/hyperlink" Target="http://www.iowaethanol.com/" TargetMode="External" /><Relationship Id="rId22" Type="http://schemas.openxmlformats.org/officeDocument/2006/relationships/hyperlink" Target="http://www.lincolnwayenergy.com/" TargetMode="External" /><Relationship Id="rId23" Type="http://schemas.openxmlformats.org/officeDocument/2006/relationships/hyperlink" Target="http://www.littlesiouxcornprocessors.com/" TargetMode="External" /><Relationship Id="rId24" Type="http://schemas.openxmlformats.org/officeDocument/2006/relationships/hyperlink" Target="http://www.littlesiouxcornprocessors.com/" TargetMode="External" /><Relationship Id="rId25" Type="http://schemas.openxmlformats.org/officeDocument/2006/relationships/hyperlink" Target="http://www.littlesiouxcornprocessors.com/" TargetMode="External" /><Relationship Id="rId26" Type="http://schemas.openxmlformats.org/officeDocument/2006/relationships/hyperlink" Target="http://www.mgpethanol.com/" TargetMode="External" /><Relationship Id="rId27" Type="http://schemas.openxmlformats.org/officeDocument/2006/relationships/hyperlink" Target="http://www.mgpethanol.com/" TargetMode="External" /><Relationship Id="rId28" Type="http://schemas.openxmlformats.org/officeDocument/2006/relationships/hyperlink" Target="http://www.mgpethanol.com/" TargetMode="External" /><Relationship Id="rId29" Type="http://schemas.openxmlformats.org/officeDocument/2006/relationships/hyperlink" Target="http://www.mgpethanol.com/" TargetMode="External" /><Relationship Id="rId30" Type="http://schemas.openxmlformats.org/officeDocument/2006/relationships/hyperlink" Target="http://www.ottercreekethanol.com/" TargetMode="External" /><Relationship Id="rId31" Type="http://schemas.openxmlformats.org/officeDocument/2006/relationships/hyperlink" Target="http://www.pinelakecorn.com/" TargetMode="External" /><Relationship Id="rId32" Type="http://schemas.openxmlformats.org/officeDocument/2006/relationships/hyperlink" Target="http://www.quad-county.com/" TargetMode="External" /><Relationship Id="rId33" Type="http://schemas.openxmlformats.org/officeDocument/2006/relationships/hyperlink" Target="http://www.quad-county.com/" TargetMode="External" /><Relationship Id="rId34" Type="http://schemas.openxmlformats.org/officeDocument/2006/relationships/hyperlink" Target="http://www.quad-county.com/" TargetMode="External" /><Relationship Id="rId35" Type="http://schemas.openxmlformats.org/officeDocument/2006/relationships/hyperlink" Target="http://www.siouxlandenergy.com/" TargetMode="External" /><Relationship Id="rId36" Type="http://schemas.openxmlformats.org/officeDocument/2006/relationships/hyperlink" Target="http://www.siouxlandenergy.com/" TargetMode="External" /><Relationship Id="rId37" Type="http://schemas.openxmlformats.org/officeDocument/2006/relationships/hyperlink" Target="http://www.tallcornethanol.com/" TargetMode="External" /><Relationship Id="rId38" Type="http://schemas.openxmlformats.org/officeDocument/2006/relationships/hyperlink" Target="http://www.usbioenergy.net/albert.htm" TargetMode="External" /><Relationship Id="rId39" Type="http://schemas.openxmlformats.org/officeDocument/2006/relationships/hyperlink" Target="http://www.verasun.com/" TargetMode="External" /><Relationship Id="rId40" Type="http://schemas.openxmlformats.org/officeDocument/2006/relationships/hyperlink" Target="http://www.verasun.com/" TargetMode="External" /><Relationship Id="rId41" Type="http://schemas.openxmlformats.org/officeDocument/2006/relationships/hyperlink" Target="http://www.verasun.com/" TargetMode="External" /><Relationship Id="rId42" Type="http://schemas.openxmlformats.org/officeDocument/2006/relationships/hyperlink" Target="http://www.voyagerethanol.com/" TargetMode="External" /><Relationship Id="rId43" Type="http://schemas.openxmlformats.org/officeDocument/2006/relationships/hyperlink" Target="http://www.xethanol.com/" TargetMode="External" /><Relationship Id="rId44" Type="http://schemas.openxmlformats.org/officeDocument/2006/relationships/hyperlink" Target="http://www.adkinsenergy.com/" TargetMode="External" /><Relationship Id="rId45" Type="http://schemas.openxmlformats.org/officeDocument/2006/relationships/hyperlink" Target="http://www.lincolnlandagrienergy.com/" TargetMode="External" /><Relationship Id="rId46" Type="http://schemas.openxmlformats.org/officeDocument/2006/relationships/hyperlink" Target="http://www.mgpingredients.com/" TargetMode="External" /><Relationship Id="rId47" Type="http://schemas.openxmlformats.org/officeDocument/2006/relationships/hyperlink" Target="http://www.buycorn.com/" TargetMode="External" /><Relationship Id="rId48" Type="http://schemas.openxmlformats.org/officeDocument/2006/relationships/hyperlink" Target="http://www.al-corn.com/" TargetMode="External" /><Relationship Id="rId49" Type="http://schemas.openxmlformats.org/officeDocument/2006/relationships/hyperlink" Target="http://www.centralmnethanol.com/" TargetMode="External" /><Relationship Id="rId50" Type="http://schemas.openxmlformats.org/officeDocument/2006/relationships/hyperlink" Target="http://www.cvec.com/" TargetMode="External" /><Relationship Id="rId51" Type="http://schemas.openxmlformats.org/officeDocument/2006/relationships/hyperlink" Target="http://www.goldentriangleenergy.com/" TargetMode="Externa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2"/>
  <sheetViews>
    <sheetView showGridLines="0" showRowColHeaders="0" tabSelected="1" workbookViewId="0" topLeftCell="A1">
      <selection activeCell="F12" sqref="F12"/>
    </sheetView>
  </sheetViews>
  <sheetFormatPr defaultColWidth="9.140625" defaultRowHeight="12.75"/>
  <cols>
    <col min="1" max="1" width="2.7109375" style="17" customWidth="1"/>
    <col min="5" max="5" width="7.28125" style="0" customWidth="1"/>
    <col min="7" max="7" width="8.7109375" style="0" customWidth="1"/>
    <col min="9" max="9" width="8.7109375" style="0" customWidth="1"/>
    <col min="10" max="10" width="7.7109375" style="0" customWidth="1"/>
    <col min="11" max="11" width="42.7109375" style="0" customWidth="1"/>
    <col min="12" max="12" width="18.421875" style="19" customWidth="1"/>
    <col min="13" max="13" width="10.7109375" style="20" customWidth="1"/>
    <col min="14" max="15" width="10.7109375" style="21" customWidth="1"/>
    <col min="16" max="16" width="10.7109375" style="0" customWidth="1"/>
    <col min="17" max="17" width="10.7109375" style="22" customWidth="1"/>
    <col min="18" max="18" width="10.7109375" style="23" customWidth="1"/>
    <col min="19" max="19" width="10.7109375" style="22" customWidth="1"/>
    <col min="20" max="21" width="10.7109375" style="0" customWidth="1"/>
    <col min="22" max="22" width="3.7109375" style="0" customWidth="1"/>
    <col min="24" max="24" width="3.7109375" style="0" customWidth="1"/>
    <col min="26" max="26" width="3.7109375" style="0" customWidth="1"/>
    <col min="28" max="28" width="3.7109375" style="0" customWidth="1"/>
  </cols>
  <sheetData>
    <row r="1" spans="1:19" s="2" customFormat="1" ht="12.75">
      <c r="A1" s="1"/>
      <c r="L1" s="3"/>
      <c r="M1" s="4"/>
      <c r="N1" s="5"/>
      <c r="O1" s="5"/>
      <c r="Q1" s="6"/>
      <c r="R1" s="7"/>
      <c r="S1" s="6"/>
    </row>
    <row r="2" spans="1:19" s="2" customFormat="1" ht="12.75">
      <c r="A2" s="1"/>
      <c r="L2" s="3"/>
      <c r="M2" s="4"/>
      <c r="N2" s="5"/>
      <c r="O2" s="5"/>
      <c r="Q2" s="6"/>
      <c r="R2" s="7"/>
      <c r="S2" s="6"/>
    </row>
    <row r="3" spans="1:19" s="2" customFormat="1" ht="12.75">
      <c r="A3" s="1"/>
      <c r="L3" s="3"/>
      <c r="M3" s="4"/>
      <c r="N3" s="5"/>
      <c r="O3" s="5"/>
      <c r="Q3" s="6"/>
      <c r="R3" s="7"/>
      <c r="S3" s="6"/>
    </row>
    <row r="4" spans="1:19" s="2" customFormat="1" ht="26.25">
      <c r="A4" s="1"/>
      <c r="B4" s="201"/>
      <c r="C4" s="202"/>
      <c r="D4" s="202"/>
      <c r="E4" s="202"/>
      <c r="F4" s="202"/>
      <c r="G4" s="199" t="s">
        <v>2</v>
      </c>
      <c r="H4" s="202"/>
      <c r="I4" s="202"/>
      <c r="J4" s="202"/>
      <c r="K4" s="8"/>
      <c r="L4" s="3"/>
      <c r="M4" s="4"/>
      <c r="N4" s="5"/>
      <c r="O4" s="5"/>
      <c r="Q4" s="6"/>
      <c r="R4" s="7"/>
      <c r="S4" s="6"/>
    </row>
    <row r="5" spans="1:19" s="2" customFormat="1" ht="12.75" customHeight="1">
      <c r="A5" s="1"/>
      <c r="B5" s="202"/>
      <c r="C5" s="202"/>
      <c r="D5" s="202"/>
      <c r="E5" s="202"/>
      <c r="F5" s="202"/>
      <c r="G5" s="202"/>
      <c r="H5" s="202"/>
      <c r="I5" s="202"/>
      <c r="J5" s="202"/>
      <c r="K5" s="9" t="s">
        <v>1</v>
      </c>
      <c r="L5" s="9"/>
      <c r="M5" s="4"/>
      <c r="N5" s="5"/>
      <c r="O5" s="5"/>
      <c r="Q5" s="6"/>
      <c r="R5" s="7"/>
      <c r="S5" s="6"/>
    </row>
    <row r="6" spans="1:19" s="2" customFormat="1" ht="33.75">
      <c r="A6" s="1"/>
      <c r="B6" s="200"/>
      <c r="C6" s="203" t="s">
        <v>0</v>
      </c>
      <c r="D6" s="200"/>
      <c r="E6" s="200"/>
      <c r="F6" s="200"/>
      <c r="G6" s="200"/>
      <c r="I6" s="200"/>
      <c r="J6" s="200"/>
      <c r="K6" s="9"/>
      <c r="L6" s="9"/>
      <c r="M6" s="4"/>
      <c r="N6" s="5"/>
      <c r="O6" s="5"/>
      <c r="Q6" s="6"/>
      <c r="R6" s="7"/>
      <c r="S6" s="6"/>
    </row>
    <row r="7" spans="1:19" s="2" customFormat="1" ht="13.5" thickBot="1">
      <c r="A7" s="1"/>
      <c r="L7" s="3"/>
      <c r="M7" s="4"/>
      <c r="N7" s="5"/>
      <c r="O7" s="5"/>
      <c r="Q7" s="6"/>
      <c r="R7" s="7"/>
      <c r="S7" s="6"/>
    </row>
    <row r="8" spans="1:19" s="11" customFormat="1" ht="18" customHeight="1" thickBot="1">
      <c r="A8" s="10"/>
      <c r="L8" s="12"/>
      <c r="M8" s="13"/>
      <c r="N8" s="14"/>
      <c r="O8" s="14"/>
      <c r="Q8" s="15"/>
      <c r="R8" s="16"/>
      <c r="S8" s="15"/>
    </row>
    <row r="9" spans="2:27" ht="21.75" customHeight="1" thickBot="1">
      <c r="B9" s="18" t="s">
        <v>3</v>
      </c>
      <c r="K9" s="18" t="s">
        <v>4</v>
      </c>
      <c r="T9" s="24"/>
      <c r="W9" s="25"/>
      <c r="X9" s="25"/>
      <c r="Y9" s="25"/>
      <c r="Z9" s="26"/>
      <c r="AA9" s="25"/>
    </row>
    <row r="10" spans="2:39" ht="33.75" customHeight="1">
      <c r="B10" s="27" t="s">
        <v>5</v>
      </c>
      <c r="C10" s="28"/>
      <c r="D10" s="28"/>
      <c r="E10" s="28"/>
      <c r="F10" s="29" t="s">
        <v>6</v>
      </c>
      <c r="G10" s="28"/>
      <c r="H10" s="29" t="s">
        <v>7</v>
      </c>
      <c r="I10" s="30"/>
      <c r="K10" s="27" t="s">
        <v>8</v>
      </c>
      <c r="L10" s="31"/>
      <c r="M10" s="32" t="s">
        <v>9</v>
      </c>
      <c r="N10" s="33"/>
      <c r="O10" s="34" t="s">
        <v>10</v>
      </c>
      <c r="P10" s="28"/>
      <c r="Q10" s="35"/>
      <c r="R10" s="36"/>
      <c r="S10" s="37"/>
      <c r="T10" s="38"/>
      <c r="U10" s="39"/>
      <c r="V10" s="40"/>
      <c r="W10" s="41"/>
      <c r="X10" s="42"/>
      <c r="Y10" s="43"/>
      <c r="Z10" s="42"/>
      <c r="AA10" s="43"/>
      <c r="AB10" s="42"/>
      <c r="AC10" s="43"/>
      <c r="AD10" s="44" t="s">
        <v>11</v>
      </c>
      <c r="AE10" s="44" t="s">
        <v>12</v>
      </c>
      <c r="AF10" s="45"/>
      <c r="AG10" s="45" t="s">
        <v>11</v>
      </c>
      <c r="AH10" s="45" t="s">
        <v>12</v>
      </c>
      <c r="AI10" s="45" t="s">
        <v>13</v>
      </c>
      <c r="AJ10" s="44"/>
      <c r="AK10" s="44"/>
      <c r="AL10" s="46"/>
      <c r="AM10" s="46"/>
    </row>
    <row r="11" spans="2:39" ht="17.25" customHeight="1">
      <c r="B11" s="47" t="s">
        <v>14</v>
      </c>
      <c r="C11" s="48"/>
      <c r="D11" s="48"/>
      <c r="E11" s="48"/>
      <c r="F11" s="48"/>
      <c r="G11" s="48"/>
      <c r="H11" s="48"/>
      <c r="I11" s="49"/>
      <c r="K11" s="50" t="s">
        <v>15</v>
      </c>
      <c r="L11" s="51" t="s">
        <v>16</v>
      </c>
      <c r="M11" s="52" t="s">
        <v>17</v>
      </c>
      <c r="N11" s="53" t="s">
        <v>18</v>
      </c>
      <c r="O11" s="54" t="s">
        <v>19</v>
      </c>
      <c r="P11" s="55" t="s">
        <v>20</v>
      </c>
      <c r="Q11" s="55" t="s">
        <v>21</v>
      </c>
      <c r="R11" s="55" t="s">
        <v>22</v>
      </c>
      <c r="S11" s="55" t="s">
        <v>23</v>
      </c>
      <c r="T11" s="54" t="s">
        <v>24</v>
      </c>
      <c r="U11" s="53" t="s">
        <v>25</v>
      </c>
      <c r="V11" s="56"/>
      <c r="W11" s="40"/>
      <c r="X11" s="57"/>
      <c r="Y11" s="40"/>
      <c r="Z11" s="57"/>
      <c r="AA11" s="40"/>
      <c r="AB11" s="57"/>
      <c r="AD11" s="58">
        <f>IF(F12=0,1,F12)</f>
        <v>100</v>
      </c>
      <c r="AE11" s="58">
        <f>IF(H12=0,1,H12)</f>
        <v>250</v>
      </c>
      <c r="AF11" s="45"/>
      <c r="AG11" s="59">
        <f>IF(F23=1,1.3,IF(F23=2,2,IF(F23=3,1,IF(F23=4,1.5,1.5))))</f>
        <v>1.5</v>
      </c>
      <c r="AH11" s="59">
        <f>IF(F23=1,1.3,IF(F23=2,2,IF(F23=3,1,IF(F23=4,1.5,1.5))))</f>
        <v>1.5</v>
      </c>
      <c r="AI11" s="60">
        <f>VLOOKUP(AI13,J11:S94,8)</f>
        <v>8.04</v>
      </c>
      <c r="AJ11" s="44"/>
      <c r="AK11" s="44"/>
      <c r="AL11" s="46"/>
      <c r="AM11" s="46"/>
    </row>
    <row r="12" spans="2:39" ht="16.5" customHeight="1">
      <c r="B12" s="61" t="s">
        <v>26</v>
      </c>
      <c r="C12" s="48"/>
      <c r="D12" s="48"/>
      <c r="E12" s="48"/>
      <c r="F12" s="62">
        <v>100</v>
      </c>
      <c r="G12" s="63" t="s">
        <v>27</v>
      </c>
      <c r="H12" s="62">
        <v>250</v>
      </c>
      <c r="I12" s="64" t="s">
        <v>27</v>
      </c>
      <c r="J12" s="198">
        <v>1</v>
      </c>
      <c r="K12" s="208" t="s">
        <v>28</v>
      </c>
      <c r="L12" s="66" t="s">
        <v>29</v>
      </c>
      <c r="M12" s="67"/>
      <c r="N12" s="68"/>
      <c r="O12" s="69"/>
      <c r="P12" s="70"/>
      <c r="Q12" s="70"/>
      <c r="R12" s="69"/>
      <c r="S12" s="70"/>
      <c r="T12" s="69"/>
      <c r="U12" s="68"/>
      <c r="V12" s="71"/>
      <c r="W12" s="40"/>
      <c r="X12" s="71"/>
      <c r="Y12" s="40"/>
      <c r="Z12" s="71"/>
      <c r="AA12" s="40"/>
      <c r="AB12" s="71"/>
      <c r="AD12" s="58">
        <f>F13/2.20456</f>
        <v>226.80262728163444</v>
      </c>
      <c r="AE12" s="58">
        <f>H13/2.20456</f>
        <v>226.80262728163444</v>
      </c>
      <c r="AF12" s="45"/>
      <c r="AG12" s="59"/>
      <c r="AH12" s="59"/>
      <c r="AI12" s="60">
        <f>IF(AI11=0,0.9,AI11)</f>
        <v>8.04</v>
      </c>
      <c r="AJ12" s="44"/>
      <c r="AK12" s="44"/>
      <c r="AL12" s="46"/>
      <c r="AM12" s="46"/>
    </row>
    <row r="13" spans="2:39" ht="16.5" customHeight="1">
      <c r="B13" s="61" t="s">
        <v>30</v>
      </c>
      <c r="C13" s="48"/>
      <c r="D13" s="48"/>
      <c r="E13" s="48"/>
      <c r="F13" s="62">
        <v>500</v>
      </c>
      <c r="G13" s="63" t="s">
        <v>31</v>
      </c>
      <c r="H13" s="62">
        <v>500</v>
      </c>
      <c r="I13" s="64" t="s">
        <v>31</v>
      </c>
      <c r="J13" s="198">
        <f>1+J12</f>
        <v>2</v>
      </c>
      <c r="K13" s="204" t="s">
        <v>32</v>
      </c>
      <c r="L13" s="66" t="s">
        <v>33</v>
      </c>
      <c r="M13" s="62"/>
      <c r="N13" s="72"/>
      <c r="O13" s="70"/>
      <c r="P13" s="70"/>
      <c r="Q13" s="70"/>
      <c r="R13" s="70"/>
      <c r="S13" s="70"/>
      <c r="T13" s="70"/>
      <c r="U13" s="72"/>
      <c r="V13" s="71"/>
      <c r="W13" s="40"/>
      <c r="X13" s="71"/>
      <c r="Y13" s="40"/>
      <c r="Z13" s="71"/>
      <c r="AA13" s="40"/>
      <c r="AB13" s="71"/>
      <c r="AD13" s="58">
        <f>F14/2.20462</f>
        <v>589.6707822663317</v>
      </c>
      <c r="AE13" s="58">
        <f>H14/2.20462</f>
        <v>589.6707822663317</v>
      </c>
      <c r="AF13" s="45"/>
      <c r="AG13" s="59">
        <f>IF(F25=1,30,IF(F25=2,20,IF(F25=3,20,25)))</f>
        <v>30</v>
      </c>
      <c r="AH13" s="59">
        <f>IF(H25=1,30,IF(H25=2,20,IF(H25=3,20,25)))</f>
        <v>30</v>
      </c>
      <c r="AI13" s="73">
        <f>IF(OR(H20&lt;1,H20&gt;68),68,H20)</f>
        <v>11</v>
      </c>
      <c r="AJ13" s="44"/>
      <c r="AK13" s="44"/>
      <c r="AL13" s="46"/>
      <c r="AM13" s="46"/>
    </row>
    <row r="14" spans="2:39" ht="16.5" customHeight="1">
      <c r="B14" s="61" t="s">
        <v>34</v>
      </c>
      <c r="C14" s="48"/>
      <c r="D14" s="48"/>
      <c r="E14" s="48"/>
      <c r="F14" s="62">
        <v>1300</v>
      </c>
      <c r="G14" s="63" t="s">
        <v>31</v>
      </c>
      <c r="H14" s="62">
        <v>1300</v>
      </c>
      <c r="I14" s="64" t="s">
        <v>31</v>
      </c>
      <c r="J14" s="198">
        <f aca="true" t="shared" si="0" ref="J14:J92">1+J13</f>
        <v>3</v>
      </c>
      <c r="K14" s="204" t="s">
        <v>35</v>
      </c>
      <c r="L14" s="66" t="s">
        <v>36</v>
      </c>
      <c r="M14" s="67">
        <v>2006</v>
      </c>
      <c r="N14" s="68">
        <v>90.24</v>
      </c>
      <c r="O14" s="69">
        <v>30.99</v>
      </c>
      <c r="P14" s="69">
        <v>10.47</v>
      </c>
      <c r="Q14" s="69">
        <v>7.73</v>
      </c>
      <c r="R14" s="69">
        <v>0.75</v>
      </c>
      <c r="S14" s="70">
        <v>0.62</v>
      </c>
      <c r="T14" s="69">
        <v>0.16</v>
      </c>
      <c r="U14" s="68">
        <v>93.98</v>
      </c>
      <c r="V14" s="71"/>
      <c r="W14" s="40"/>
      <c r="X14" s="71"/>
      <c r="Y14" s="40"/>
      <c r="Z14" s="71"/>
      <c r="AA14" s="40"/>
      <c r="AB14" s="71"/>
      <c r="AD14" s="58"/>
      <c r="AE14" s="58"/>
      <c r="AF14" s="45"/>
      <c r="AG14" s="59"/>
      <c r="AH14" s="59"/>
      <c r="AI14" s="45"/>
      <c r="AJ14" s="44"/>
      <c r="AK14" s="44"/>
      <c r="AL14" s="46"/>
      <c r="AM14" s="46"/>
    </row>
    <row r="15" spans="2:39" ht="16.5" customHeight="1">
      <c r="B15" s="61" t="s">
        <v>37</v>
      </c>
      <c r="C15" s="48"/>
      <c r="D15" s="48"/>
      <c r="E15" s="48"/>
      <c r="F15" s="62">
        <v>210</v>
      </c>
      <c r="G15" s="48"/>
      <c r="H15" s="62">
        <v>210</v>
      </c>
      <c r="I15" s="49"/>
      <c r="J15" s="198">
        <f t="shared" si="0"/>
        <v>4</v>
      </c>
      <c r="K15" s="205" t="s">
        <v>38</v>
      </c>
      <c r="L15" s="75" t="s">
        <v>36</v>
      </c>
      <c r="M15" s="76">
        <v>2006</v>
      </c>
      <c r="N15" s="77">
        <v>46.25</v>
      </c>
      <c r="O15" s="78">
        <v>28.76</v>
      </c>
      <c r="P15" s="78">
        <v>12.25</v>
      </c>
      <c r="Q15" s="78">
        <v>6.47</v>
      </c>
      <c r="R15" s="78">
        <v>0.95</v>
      </c>
      <c r="S15" s="78">
        <v>0.73</v>
      </c>
      <c r="T15" s="78">
        <v>0.22</v>
      </c>
      <c r="U15" s="77">
        <v>101.8</v>
      </c>
      <c r="V15" s="71"/>
      <c r="W15" s="40"/>
      <c r="X15" s="71"/>
      <c r="Y15" s="40"/>
      <c r="Z15" s="71"/>
      <c r="AA15" s="40"/>
      <c r="AB15" s="71"/>
      <c r="AD15" s="79">
        <f>F16/2.20462</f>
        <v>9.979044007584074</v>
      </c>
      <c r="AE15" s="79">
        <f>H16/2.20462</f>
        <v>9.979044007584074</v>
      </c>
      <c r="AF15" s="45"/>
      <c r="AG15" s="59"/>
      <c r="AH15" s="59"/>
      <c r="AI15" s="45"/>
      <c r="AJ15" s="44"/>
      <c r="AK15" s="44"/>
      <c r="AL15" s="46"/>
      <c r="AM15" s="46"/>
    </row>
    <row r="16" spans="2:39" ht="16.5" customHeight="1">
      <c r="B16" s="61" t="s">
        <v>39</v>
      </c>
      <c r="C16" s="48"/>
      <c r="D16" s="48"/>
      <c r="E16" s="48"/>
      <c r="F16" s="62">
        <v>22</v>
      </c>
      <c r="G16" s="63" t="s">
        <v>40</v>
      </c>
      <c r="H16" s="62">
        <v>22</v>
      </c>
      <c r="I16" s="64" t="s">
        <v>40</v>
      </c>
      <c r="J16" s="198">
        <f t="shared" si="0"/>
        <v>5</v>
      </c>
      <c r="K16" s="205" t="s">
        <v>41</v>
      </c>
      <c r="L16" s="75" t="s">
        <v>36</v>
      </c>
      <c r="M16" s="76">
        <v>2006</v>
      </c>
      <c r="N16" s="80">
        <v>42.35</v>
      </c>
      <c r="O16" s="81">
        <v>14.5</v>
      </c>
      <c r="P16" s="81">
        <v>18.42</v>
      </c>
      <c r="Q16" s="82" t="s">
        <v>42</v>
      </c>
      <c r="R16" s="81">
        <v>1.42</v>
      </c>
      <c r="S16" s="78">
        <v>0.95</v>
      </c>
      <c r="T16" s="81">
        <v>0.39</v>
      </c>
      <c r="U16" s="80">
        <v>91.4</v>
      </c>
      <c r="V16" s="71"/>
      <c r="W16" s="40"/>
      <c r="X16" s="71"/>
      <c r="Y16" s="40"/>
      <c r="Z16" s="71"/>
      <c r="AA16" s="40"/>
      <c r="AB16" s="71"/>
      <c r="AD16" s="79">
        <f>F17*0.01</f>
        <v>0.126</v>
      </c>
      <c r="AE16" s="79">
        <f>H17*0.01</f>
        <v>0.13606000000000001</v>
      </c>
      <c r="AF16" s="45"/>
      <c r="AG16" s="59">
        <f>IF(F28=1,10,IF(F28=2,30,IF(F28=3,5,IF(F28=4,2,IF(F28=5,20,IF(F28=6,10,IF(F28=7,30,IF(F28=8,65,0))))))))</f>
        <v>5</v>
      </c>
      <c r="AH16" s="59">
        <f>IF(H28=1,10,IF(H28=2,30,IF(H28=3,5,IF(H28=4,2,IF(H28=5,20,IF(H28=6,10,IF(H28=7,30,IF(H28=8,65,0))))))))</f>
        <v>65</v>
      </c>
      <c r="AI16" s="45"/>
      <c r="AJ16" s="44"/>
      <c r="AK16" s="44"/>
      <c r="AL16" s="46"/>
      <c r="AM16" s="46"/>
    </row>
    <row r="17" spans="2:39" ht="16.5" customHeight="1">
      <c r="B17" s="61" t="s">
        <v>43</v>
      </c>
      <c r="C17" s="48"/>
      <c r="D17" s="48"/>
      <c r="E17" s="48"/>
      <c r="F17" s="83">
        <v>12.6</v>
      </c>
      <c r="G17" s="63" t="s">
        <v>44</v>
      </c>
      <c r="H17" s="84">
        <f>IF(H19&gt;14.9,12.6+(0.208*(H19-15)+I22),F17)</f>
        <v>13.606</v>
      </c>
      <c r="I17" s="64" t="s">
        <v>44</v>
      </c>
      <c r="J17" s="198">
        <f t="shared" si="0"/>
        <v>6</v>
      </c>
      <c r="K17" s="205" t="s">
        <v>45</v>
      </c>
      <c r="L17" s="75" t="s">
        <v>46</v>
      </c>
      <c r="M17" s="76">
        <v>2006</v>
      </c>
      <c r="N17" s="77">
        <v>90</v>
      </c>
      <c r="O17" s="78">
        <v>30</v>
      </c>
      <c r="P17" s="78">
        <v>11</v>
      </c>
      <c r="Q17" s="78">
        <v>6.7</v>
      </c>
      <c r="R17" s="78">
        <v>0.84</v>
      </c>
      <c r="S17" s="78">
        <v>0.81</v>
      </c>
      <c r="T17" s="78">
        <v>0.26</v>
      </c>
      <c r="U17" s="77">
        <v>92</v>
      </c>
      <c r="V17" s="71"/>
      <c r="W17" s="40"/>
      <c r="X17" s="71"/>
      <c r="Y17" s="40"/>
      <c r="Z17" s="71"/>
      <c r="AA17" s="40"/>
      <c r="AB17" s="71"/>
      <c r="AD17" s="79">
        <f>F18*0.01</f>
        <v>0.0034999999999999996</v>
      </c>
      <c r="AE17" s="79">
        <f>H18*0.01</f>
        <v>0.012433333333333333</v>
      </c>
      <c r="AF17" s="45"/>
      <c r="AG17" s="59">
        <f>IF(F28=1,20,IF(F28=2,40,IF(F28=3,10,IF(F28=4,3,IF(F28=5,35,IF(F28=6,10,IF(F28=7,30,IF(F28=8,75,0))))))))</f>
        <v>10</v>
      </c>
      <c r="AH17" s="59">
        <f>IF(H28=1,20,IF(H28=2,40,IF(H28=3,10,IF(H28=4,3,IF(H28=5,35,IF(H28=6,10,IF(H28=7,30,IF(H28=8,75,0))))))))</f>
        <v>75</v>
      </c>
      <c r="AI17" s="45"/>
      <c r="AJ17" s="44"/>
      <c r="AK17" s="44"/>
      <c r="AL17" s="46"/>
      <c r="AM17" s="46"/>
    </row>
    <row r="18" spans="2:39" ht="16.5" customHeight="1">
      <c r="B18" s="61" t="s">
        <v>47</v>
      </c>
      <c r="C18" s="48"/>
      <c r="D18" s="48"/>
      <c r="E18" s="48"/>
      <c r="F18" s="83">
        <v>0.35</v>
      </c>
      <c r="G18" s="63" t="s">
        <v>44</v>
      </c>
      <c r="H18" s="84">
        <f>0.35+(0.005*AI12/0.9*H19)</f>
        <v>1.2433333333333332</v>
      </c>
      <c r="I18" s="64" t="s">
        <v>44</v>
      </c>
      <c r="J18" s="198">
        <f t="shared" si="0"/>
        <v>7</v>
      </c>
      <c r="K18" s="205" t="s">
        <v>48</v>
      </c>
      <c r="L18" s="75" t="s">
        <v>46</v>
      </c>
      <c r="M18" s="76">
        <v>2006</v>
      </c>
      <c r="N18" s="80">
        <v>50</v>
      </c>
      <c r="O18" s="81">
        <v>29</v>
      </c>
      <c r="P18" s="81">
        <v>13</v>
      </c>
      <c r="Q18" s="81">
        <v>6</v>
      </c>
      <c r="R18" s="81">
        <v>0.97</v>
      </c>
      <c r="S18" s="78">
        <v>0.85</v>
      </c>
      <c r="T18" s="81">
        <v>0.22</v>
      </c>
      <c r="U18" s="80">
        <v>132</v>
      </c>
      <c r="V18" s="71"/>
      <c r="W18" s="40"/>
      <c r="X18" s="71"/>
      <c r="Y18" s="40"/>
      <c r="Z18" s="71"/>
      <c r="AA18" s="40"/>
      <c r="AB18" s="71"/>
      <c r="AD18" s="58"/>
      <c r="AE18" s="58"/>
      <c r="AF18" s="45"/>
      <c r="AG18" s="59">
        <f>IF(F25&lt;3,AG17,AG16)</f>
        <v>10</v>
      </c>
      <c r="AH18" s="59">
        <f>IF(F25&lt;3,AH17,AH16)</f>
        <v>75</v>
      </c>
      <c r="AI18" s="45"/>
      <c r="AJ18" s="44"/>
      <c r="AK18" s="44"/>
      <c r="AL18" s="46"/>
      <c r="AM18" s="46"/>
    </row>
    <row r="19" spans="2:39" ht="16.5" customHeight="1">
      <c r="B19" s="61" t="s">
        <v>49</v>
      </c>
      <c r="C19" s="48"/>
      <c r="D19" s="48"/>
      <c r="E19" s="48"/>
      <c r="F19" s="84">
        <v>0</v>
      </c>
      <c r="G19" s="63" t="s">
        <v>44</v>
      </c>
      <c r="H19" s="83">
        <v>20</v>
      </c>
      <c r="I19" s="64" t="s">
        <v>44</v>
      </c>
      <c r="J19" s="198">
        <f t="shared" si="0"/>
        <v>8</v>
      </c>
      <c r="K19" s="206" t="s">
        <v>50</v>
      </c>
      <c r="L19" s="66" t="s">
        <v>51</v>
      </c>
      <c r="M19" s="67">
        <v>2006</v>
      </c>
      <c r="N19" s="68">
        <v>88.5</v>
      </c>
      <c r="O19" s="69">
        <v>28.6</v>
      </c>
      <c r="P19" s="69">
        <v>11.1</v>
      </c>
      <c r="Q19" s="69">
        <v>8.4</v>
      </c>
      <c r="R19" s="69"/>
      <c r="S19" s="70"/>
      <c r="T19" s="69"/>
      <c r="U19" s="68"/>
      <c r="V19" s="71"/>
      <c r="W19" s="40"/>
      <c r="X19" s="71"/>
      <c r="Y19" s="40"/>
      <c r="Z19" s="71"/>
      <c r="AA19" s="40"/>
      <c r="AB19" s="71"/>
      <c r="AD19" s="58"/>
      <c r="AE19" s="58"/>
      <c r="AF19" s="45"/>
      <c r="AG19" s="59"/>
      <c r="AH19" s="59"/>
      <c r="AI19" s="45"/>
      <c r="AJ19" s="44"/>
      <c r="AK19" s="44"/>
      <c r="AL19" s="46"/>
      <c r="AM19" s="46"/>
    </row>
    <row r="20" spans="2:39" ht="16.5" customHeight="1">
      <c r="B20" s="61" t="s">
        <v>52</v>
      </c>
      <c r="C20" s="48"/>
      <c r="D20" s="48"/>
      <c r="E20" s="86"/>
      <c r="F20" s="87" t="s">
        <v>53</v>
      </c>
      <c r="G20" s="63"/>
      <c r="H20" s="88">
        <v>11</v>
      </c>
      <c r="I20" s="49"/>
      <c r="J20" s="198">
        <f t="shared" si="0"/>
        <v>9</v>
      </c>
      <c r="K20" s="206" t="s">
        <v>54</v>
      </c>
      <c r="L20" s="66" t="s">
        <v>51</v>
      </c>
      <c r="M20" s="67">
        <v>2006</v>
      </c>
      <c r="N20" s="68">
        <v>35.8</v>
      </c>
      <c r="O20" s="69">
        <v>31.1</v>
      </c>
      <c r="P20" s="69">
        <v>14.6</v>
      </c>
      <c r="Q20" s="69">
        <v>8.7</v>
      </c>
      <c r="R20" s="69"/>
      <c r="S20" s="70"/>
      <c r="T20" s="69"/>
      <c r="U20" s="68"/>
      <c r="V20" s="71"/>
      <c r="W20" s="40"/>
      <c r="X20" s="71"/>
      <c r="Y20" s="40"/>
      <c r="Z20" s="71"/>
      <c r="AA20" s="40"/>
      <c r="AB20" s="71"/>
      <c r="AD20" s="58"/>
      <c r="AE20" s="58"/>
      <c r="AF20" s="44"/>
      <c r="AG20" s="58"/>
      <c r="AH20" s="58"/>
      <c r="AI20" s="44"/>
      <c r="AJ20" s="44"/>
      <c r="AK20" s="44"/>
      <c r="AL20" s="46"/>
      <c r="AM20" s="46"/>
    </row>
    <row r="21" spans="2:39" ht="16.5" customHeight="1">
      <c r="B21" s="89"/>
      <c r="C21" s="48"/>
      <c r="D21" s="48"/>
      <c r="E21" s="48"/>
      <c r="F21" s="90" t="s">
        <v>55</v>
      </c>
      <c r="G21" s="63"/>
      <c r="H21" s="91"/>
      <c r="I21" s="92">
        <f>(VLOOKUP(H20,J12:O94,6)-31)*H19*0.01</f>
        <v>-0.03400000000000034</v>
      </c>
      <c r="J21" s="198">
        <f t="shared" si="0"/>
        <v>10</v>
      </c>
      <c r="K21" s="206" t="s">
        <v>56</v>
      </c>
      <c r="L21" s="66" t="s">
        <v>57</v>
      </c>
      <c r="M21" s="67"/>
      <c r="N21" s="68"/>
      <c r="O21" s="69"/>
      <c r="P21" s="69"/>
      <c r="Q21" s="69"/>
      <c r="R21" s="69"/>
      <c r="S21" s="70"/>
      <c r="T21" s="69"/>
      <c r="U21" s="68"/>
      <c r="V21" s="71"/>
      <c r="W21" s="40"/>
      <c r="X21" s="71"/>
      <c r="Y21" s="40"/>
      <c r="Z21" s="71"/>
      <c r="AA21" s="40"/>
      <c r="AB21" s="71"/>
      <c r="AD21" s="58"/>
      <c r="AE21" s="58"/>
      <c r="AF21" s="44"/>
      <c r="AG21" s="58"/>
      <c r="AH21" s="58"/>
      <c r="AI21" s="44"/>
      <c r="AJ21" s="44"/>
      <c r="AK21" s="44"/>
      <c r="AL21" s="46"/>
      <c r="AM21" s="46"/>
    </row>
    <row r="22" spans="2:39" ht="16.5" customHeight="1">
      <c r="B22" s="47" t="s">
        <v>58</v>
      </c>
      <c r="C22" s="48"/>
      <c r="D22" s="48"/>
      <c r="E22" s="48"/>
      <c r="F22" s="48"/>
      <c r="G22" s="48"/>
      <c r="H22" s="48"/>
      <c r="I22" s="93">
        <f>IF(I21&lt;-1,12.6-13.64,I21)</f>
        <v>-0.03400000000000034</v>
      </c>
      <c r="J22" s="198">
        <f t="shared" si="0"/>
        <v>11</v>
      </c>
      <c r="K22" s="206" t="s">
        <v>59</v>
      </c>
      <c r="L22" s="66" t="s">
        <v>60</v>
      </c>
      <c r="M22" s="67">
        <v>2006</v>
      </c>
      <c r="N22" s="68">
        <v>89.6</v>
      </c>
      <c r="O22" s="69">
        <v>30.83</v>
      </c>
      <c r="P22" s="69">
        <v>11.74</v>
      </c>
      <c r="Q22" s="69">
        <v>8.04</v>
      </c>
      <c r="R22" s="69">
        <v>0.8</v>
      </c>
      <c r="S22" s="70">
        <v>0.87</v>
      </c>
      <c r="T22" s="69">
        <v>0.32</v>
      </c>
      <c r="U22" s="68">
        <v>67</v>
      </c>
      <c r="V22" s="71"/>
      <c r="W22" s="40"/>
      <c r="X22" s="71"/>
      <c r="Y22" s="40"/>
      <c r="Z22" s="71"/>
      <c r="AA22" s="40"/>
      <c r="AB22" s="71"/>
      <c r="AD22" s="58"/>
      <c r="AE22" s="58"/>
      <c r="AF22" s="44"/>
      <c r="AG22" s="44"/>
      <c r="AH22" s="58"/>
      <c r="AI22" s="44"/>
      <c r="AJ22" s="44"/>
      <c r="AK22" s="44"/>
      <c r="AL22" s="46"/>
      <c r="AM22" s="46"/>
    </row>
    <row r="23" spans="2:39" ht="16.5" customHeight="1">
      <c r="B23" s="61" t="s">
        <v>61</v>
      </c>
      <c r="C23" s="48"/>
      <c r="D23" s="48"/>
      <c r="E23" s="48"/>
      <c r="F23" s="94">
        <v>4</v>
      </c>
      <c r="G23" s="48"/>
      <c r="H23" s="48"/>
      <c r="I23" s="49"/>
      <c r="J23" s="198">
        <f t="shared" si="0"/>
        <v>12</v>
      </c>
      <c r="K23" s="205" t="s">
        <v>62</v>
      </c>
      <c r="L23" s="75" t="s">
        <v>60</v>
      </c>
      <c r="M23" s="96">
        <v>2006</v>
      </c>
      <c r="N23" s="77">
        <v>50.6</v>
      </c>
      <c r="O23" s="81">
        <v>29.2</v>
      </c>
      <c r="P23" s="78">
        <v>16.46</v>
      </c>
      <c r="Q23" s="78">
        <v>6.52</v>
      </c>
      <c r="R23" s="78">
        <v>0.85</v>
      </c>
      <c r="S23" s="78">
        <v>1.03</v>
      </c>
      <c r="T23" s="78">
        <v>0.34</v>
      </c>
      <c r="U23" s="77">
        <v>67</v>
      </c>
      <c r="V23" s="71"/>
      <c r="W23" s="40"/>
      <c r="X23" s="71"/>
      <c r="Y23" s="40"/>
      <c r="Z23" s="71"/>
      <c r="AA23" s="40"/>
      <c r="AB23" s="71"/>
      <c r="AD23" s="58"/>
      <c r="AE23" s="58"/>
      <c r="AF23" s="44"/>
      <c r="AG23" s="44"/>
      <c r="AH23" s="58"/>
      <c r="AI23" s="44"/>
      <c r="AJ23" s="44"/>
      <c r="AK23" s="44"/>
      <c r="AL23" s="46"/>
      <c r="AM23" s="46"/>
    </row>
    <row r="24" spans="2:39" ht="16.5" customHeight="1">
      <c r="B24" s="97" t="s">
        <v>63</v>
      </c>
      <c r="C24" s="48"/>
      <c r="D24" s="48"/>
      <c r="E24" s="48"/>
      <c r="F24" s="48"/>
      <c r="G24" s="48"/>
      <c r="H24" s="48"/>
      <c r="I24" s="49"/>
      <c r="J24" s="198">
        <f t="shared" si="0"/>
        <v>13</v>
      </c>
      <c r="K24" s="205" t="s">
        <v>64</v>
      </c>
      <c r="L24" s="75" t="s">
        <v>65</v>
      </c>
      <c r="M24" s="96"/>
      <c r="N24" s="77"/>
      <c r="O24" s="78"/>
      <c r="P24" s="78"/>
      <c r="Q24" s="78"/>
      <c r="R24" s="78"/>
      <c r="S24" s="78"/>
      <c r="T24" s="78"/>
      <c r="U24" s="77"/>
      <c r="V24" s="71"/>
      <c r="W24" s="40"/>
      <c r="X24" s="71"/>
      <c r="Y24" s="40"/>
      <c r="Z24" s="71"/>
      <c r="AA24" s="40"/>
      <c r="AB24" s="71"/>
      <c r="AD24" s="58">
        <f>(AD13+AD12)/2</f>
        <v>408.2367047739831</v>
      </c>
      <c r="AE24" s="58">
        <f>(AE13+AE12)/2</f>
        <v>408.2367047739831</v>
      </c>
      <c r="AF24" s="44"/>
      <c r="AG24" s="58">
        <f>(1-(0.01*AG13*AG11))*F43</f>
        <v>43.050922097016844</v>
      </c>
      <c r="AH24" s="58">
        <f>(1-(0.01*AH13*AH11))*H43</f>
        <v>47.14091569701685</v>
      </c>
      <c r="AI24" s="44"/>
      <c r="AJ24" s="44"/>
      <c r="AK24" s="44"/>
      <c r="AL24" s="46"/>
      <c r="AM24" s="46"/>
    </row>
    <row r="25" spans="2:39" ht="16.5" customHeight="1">
      <c r="B25" s="61" t="s">
        <v>66</v>
      </c>
      <c r="C25" s="48"/>
      <c r="D25" s="48"/>
      <c r="E25" s="48"/>
      <c r="F25" s="94">
        <v>1</v>
      </c>
      <c r="G25" s="48"/>
      <c r="H25" s="94">
        <v>1</v>
      </c>
      <c r="I25" s="49"/>
      <c r="J25" s="198">
        <f t="shared" si="0"/>
        <v>14</v>
      </c>
      <c r="K25" s="205" t="s">
        <v>64</v>
      </c>
      <c r="L25" s="75" t="s">
        <v>65</v>
      </c>
      <c r="M25" s="96"/>
      <c r="N25" s="77"/>
      <c r="O25" s="78"/>
      <c r="P25" s="78"/>
      <c r="Q25" s="78"/>
      <c r="R25" s="78"/>
      <c r="S25" s="78"/>
      <c r="T25" s="78"/>
      <c r="U25" s="77"/>
      <c r="V25" s="71"/>
      <c r="W25" s="40"/>
      <c r="X25" s="71"/>
      <c r="Y25" s="40"/>
      <c r="Z25" s="71"/>
      <c r="AA25" s="40"/>
      <c r="AB25" s="71"/>
      <c r="AD25" s="58">
        <f>1200/2.20462</f>
        <v>544.3114913227677</v>
      </c>
      <c r="AE25" s="58">
        <f>1200/2.20462</f>
        <v>544.3114913227677</v>
      </c>
      <c r="AF25" s="44"/>
      <c r="AG25" s="58">
        <f>(1-(0.01*AG18))*AG24</f>
        <v>38.74582988731516</v>
      </c>
      <c r="AH25" s="58">
        <f>(1-(0.01*AH18))*AH24</f>
        <v>11.785228924254213</v>
      </c>
      <c r="AI25" s="44"/>
      <c r="AJ25" s="44"/>
      <c r="AK25" s="44"/>
      <c r="AL25" s="46"/>
      <c r="AM25" s="46"/>
    </row>
    <row r="26" spans="2:39" ht="16.5" customHeight="1">
      <c r="B26" s="97" t="s">
        <v>67</v>
      </c>
      <c r="C26" s="48"/>
      <c r="D26" s="48"/>
      <c r="E26" s="48"/>
      <c r="F26" s="48"/>
      <c r="G26" s="48"/>
      <c r="H26" s="48"/>
      <c r="I26" s="49"/>
      <c r="J26" s="198">
        <f t="shared" si="0"/>
        <v>15</v>
      </c>
      <c r="K26" s="205" t="s">
        <v>68</v>
      </c>
      <c r="L26" s="75" t="s">
        <v>69</v>
      </c>
      <c r="M26" s="96">
        <v>2004</v>
      </c>
      <c r="N26" s="77"/>
      <c r="O26" s="78">
        <v>29.3</v>
      </c>
      <c r="P26" s="78"/>
      <c r="Q26" s="78"/>
      <c r="R26" s="78">
        <v>0.78</v>
      </c>
      <c r="S26" s="78">
        <v>0.44</v>
      </c>
      <c r="T26" s="78"/>
      <c r="U26" s="77"/>
      <c r="V26" s="71"/>
      <c r="W26" s="40"/>
      <c r="X26" s="71"/>
      <c r="Y26" s="40"/>
      <c r="Z26" s="71"/>
      <c r="AA26" s="40"/>
      <c r="AB26" s="71"/>
      <c r="AD26" s="44"/>
      <c r="AE26" s="44"/>
      <c r="AF26" s="44"/>
      <c r="AG26" s="44"/>
      <c r="AH26" s="44"/>
      <c r="AI26" s="44"/>
      <c r="AJ26" s="44"/>
      <c r="AK26" s="44"/>
      <c r="AL26" s="46"/>
      <c r="AM26" s="46"/>
    </row>
    <row r="27" spans="2:39" ht="16.5" customHeight="1">
      <c r="B27" s="97" t="s">
        <v>70</v>
      </c>
      <c r="C27" s="48"/>
      <c r="D27" s="48"/>
      <c r="E27" s="48"/>
      <c r="F27" s="48"/>
      <c r="G27" s="48"/>
      <c r="H27" s="48"/>
      <c r="I27" s="49"/>
      <c r="J27" s="198">
        <f t="shared" si="0"/>
        <v>16</v>
      </c>
      <c r="K27" s="206" t="s">
        <v>71</v>
      </c>
      <c r="L27" s="66" t="s">
        <v>72</v>
      </c>
      <c r="M27" s="62">
        <v>2006</v>
      </c>
      <c r="N27" s="72">
        <v>90</v>
      </c>
      <c r="O27" s="70">
        <v>28</v>
      </c>
      <c r="P27" s="70">
        <v>13</v>
      </c>
      <c r="Q27" s="70"/>
      <c r="R27" s="70"/>
      <c r="S27" s="70"/>
      <c r="T27" s="70"/>
      <c r="U27" s="72"/>
      <c r="V27" s="71"/>
      <c r="W27" s="40"/>
      <c r="X27" s="71"/>
      <c r="Y27" s="40"/>
      <c r="Z27" s="71"/>
      <c r="AA27" s="40"/>
      <c r="AB27" s="71"/>
      <c r="AD27" s="44"/>
      <c r="AE27" s="44"/>
      <c r="AF27" s="44"/>
      <c r="AG27" s="44"/>
      <c r="AH27" s="44"/>
      <c r="AI27" s="44"/>
      <c r="AJ27" s="44"/>
      <c r="AK27" s="44"/>
      <c r="AL27" s="46"/>
      <c r="AM27" s="46"/>
    </row>
    <row r="28" spans="2:39" ht="16.5" customHeight="1">
      <c r="B28" s="61" t="s">
        <v>73</v>
      </c>
      <c r="C28" s="48"/>
      <c r="D28" s="48"/>
      <c r="E28" s="48"/>
      <c r="F28" s="94">
        <v>3</v>
      </c>
      <c r="G28" s="48"/>
      <c r="H28" s="94">
        <v>8</v>
      </c>
      <c r="I28" s="49"/>
      <c r="J28" s="198">
        <f t="shared" si="0"/>
        <v>17</v>
      </c>
      <c r="K28" s="206" t="s">
        <v>71</v>
      </c>
      <c r="L28" s="66" t="s">
        <v>74</v>
      </c>
      <c r="M28" s="62"/>
      <c r="N28" s="72"/>
      <c r="O28" s="70"/>
      <c r="P28" s="70"/>
      <c r="Q28" s="70"/>
      <c r="R28" s="70"/>
      <c r="S28" s="70"/>
      <c r="T28" s="70"/>
      <c r="U28" s="72"/>
      <c r="V28" s="71"/>
      <c r="W28" s="40"/>
      <c r="X28" s="71"/>
      <c r="Y28" s="40"/>
      <c r="Z28" s="71"/>
      <c r="AA28" s="40"/>
      <c r="AB28" s="71"/>
      <c r="AD28" s="44"/>
      <c r="AE28" s="44"/>
      <c r="AF28" s="44"/>
      <c r="AG28" s="44"/>
      <c r="AH28" s="44"/>
      <c r="AI28" s="44"/>
      <c r="AJ28" s="44"/>
      <c r="AK28" s="44"/>
      <c r="AL28" s="46"/>
      <c r="AM28" s="46"/>
    </row>
    <row r="29" spans="2:39" ht="16.5" customHeight="1">
      <c r="B29" s="97" t="s">
        <v>75</v>
      </c>
      <c r="C29" s="98"/>
      <c r="D29" s="98"/>
      <c r="E29" s="98"/>
      <c r="F29" s="98"/>
      <c r="G29" s="98"/>
      <c r="H29" s="98"/>
      <c r="I29" s="49"/>
      <c r="J29" s="198">
        <f t="shared" si="0"/>
        <v>18</v>
      </c>
      <c r="K29" s="206" t="s">
        <v>76</v>
      </c>
      <c r="L29" s="66" t="s">
        <v>77</v>
      </c>
      <c r="M29" s="62"/>
      <c r="N29" s="72"/>
      <c r="O29" s="70"/>
      <c r="P29" s="70"/>
      <c r="Q29" s="70"/>
      <c r="R29" s="70"/>
      <c r="S29" s="70"/>
      <c r="T29" s="70"/>
      <c r="U29" s="72"/>
      <c r="V29" s="71"/>
      <c r="W29" s="40"/>
      <c r="X29" s="71"/>
      <c r="Y29" s="40"/>
      <c r="Z29" s="71"/>
      <c r="AA29" s="40"/>
      <c r="AB29" s="71"/>
      <c r="AD29" s="44"/>
      <c r="AE29" s="44"/>
      <c r="AF29" s="44"/>
      <c r="AG29" s="44"/>
      <c r="AH29" s="44"/>
      <c r="AI29" s="44"/>
      <c r="AJ29" s="44"/>
      <c r="AK29" s="44"/>
      <c r="AL29" s="46"/>
      <c r="AM29" s="46"/>
    </row>
    <row r="30" spans="2:38" ht="16.5" customHeight="1">
      <c r="B30" s="97" t="s">
        <v>78</v>
      </c>
      <c r="C30" s="98"/>
      <c r="D30" s="98"/>
      <c r="E30" s="98"/>
      <c r="F30" s="98"/>
      <c r="G30" s="98"/>
      <c r="H30" s="98"/>
      <c r="I30" s="49"/>
      <c r="J30" s="198">
        <f t="shared" si="0"/>
        <v>19</v>
      </c>
      <c r="K30" s="206" t="s">
        <v>79</v>
      </c>
      <c r="L30" s="66" t="s">
        <v>80</v>
      </c>
      <c r="M30" s="62"/>
      <c r="N30" s="72"/>
      <c r="O30" s="70"/>
      <c r="P30" s="70"/>
      <c r="Q30" s="70"/>
      <c r="R30" s="70"/>
      <c r="S30" s="70"/>
      <c r="T30" s="70"/>
      <c r="U30" s="72"/>
      <c r="V30" s="71"/>
      <c r="W30" s="40"/>
      <c r="X30" s="71"/>
      <c r="Y30" s="40"/>
      <c r="Z30" s="71"/>
      <c r="AA30" s="40"/>
      <c r="AB30" s="71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2:37" ht="16.5" customHeight="1">
      <c r="B31" s="97" t="s">
        <v>81</v>
      </c>
      <c r="C31" s="98"/>
      <c r="D31" s="98"/>
      <c r="E31" s="98"/>
      <c r="F31" s="98"/>
      <c r="G31" s="98"/>
      <c r="H31" s="98"/>
      <c r="I31" s="49"/>
      <c r="J31" s="198">
        <f t="shared" si="0"/>
        <v>20</v>
      </c>
      <c r="K31" s="205" t="s">
        <v>82</v>
      </c>
      <c r="L31" s="75" t="s">
        <v>83</v>
      </c>
      <c r="M31" s="96">
        <v>2006</v>
      </c>
      <c r="N31" s="77">
        <v>90</v>
      </c>
      <c r="O31" s="78">
        <v>27.8</v>
      </c>
      <c r="P31" s="78">
        <v>11</v>
      </c>
      <c r="Q31" s="78">
        <v>16.7</v>
      </c>
      <c r="R31" s="78"/>
      <c r="S31" s="78"/>
      <c r="T31" s="78"/>
      <c r="U31" s="77"/>
      <c r="V31" s="71"/>
      <c r="W31" s="40"/>
      <c r="X31" s="71"/>
      <c r="Y31" s="40"/>
      <c r="Z31" s="71"/>
      <c r="AA31" s="40"/>
      <c r="AB31" s="71"/>
      <c r="AD31" s="44"/>
      <c r="AE31" s="44"/>
      <c r="AF31" s="44"/>
      <c r="AG31" s="44"/>
      <c r="AH31" s="44"/>
      <c r="AI31" s="44"/>
      <c r="AJ31" s="44"/>
      <c r="AK31" s="44"/>
    </row>
    <row r="32" spans="2:37" ht="16.5" customHeight="1">
      <c r="B32" s="97" t="s">
        <v>84</v>
      </c>
      <c r="C32" s="98"/>
      <c r="D32" s="98"/>
      <c r="E32" s="98"/>
      <c r="F32" s="98"/>
      <c r="G32" s="98"/>
      <c r="H32" s="98"/>
      <c r="I32" s="49"/>
      <c r="J32" s="198">
        <f t="shared" si="0"/>
        <v>21</v>
      </c>
      <c r="K32" s="205" t="s">
        <v>85</v>
      </c>
      <c r="L32" s="75" t="s">
        <v>86</v>
      </c>
      <c r="M32" s="96">
        <v>2006</v>
      </c>
      <c r="N32" s="77">
        <v>89.8</v>
      </c>
      <c r="O32" s="78">
        <v>30.6</v>
      </c>
      <c r="P32" s="78">
        <v>9.21</v>
      </c>
      <c r="Q32" s="78">
        <v>8.08</v>
      </c>
      <c r="R32" s="78">
        <v>0.85</v>
      </c>
      <c r="S32" s="78">
        <v>0.89</v>
      </c>
      <c r="T32" s="78">
        <v>0.16</v>
      </c>
      <c r="U32" s="77">
        <v>100</v>
      </c>
      <c r="V32" s="71"/>
      <c r="W32" s="40"/>
      <c r="X32" s="71"/>
      <c r="Y32" s="40"/>
      <c r="Z32" s="71"/>
      <c r="AA32" s="40"/>
      <c r="AB32" s="71"/>
      <c r="AD32" s="44"/>
      <c r="AE32" s="44"/>
      <c r="AF32" s="44"/>
      <c r="AG32" s="44"/>
      <c r="AH32" s="44"/>
      <c r="AI32" s="44"/>
      <c r="AJ32" s="44"/>
      <c r="AK32" s="44"/>
    </row>
    <row r="33" spans="2:37" ht="16.5" customHeight="1" thickBot="1">
      <c r="B33" s="99"/>
      <c r="C33" s="100"/>
      <c r="D33" s="100"/>
      <c r="E33" s="100"/>
      <c r="F33" s="100"/>
      <c r="G33" s="100"/>
      <c r="H33" s="100"/>
      <c r="I33" s="101"/>
      <c r="J33" s="198">
        <f t="shared" si="0"/>
        <v>22</v>
      </c>
      <c r="K33" s="205" t="s">
        <v>87</v>
      </c>
      <c r="L33" s="75" t="s">
        <v>86</v>
      </c>
      <c r="M33" s="96">
        <v>2006</v>
      </c>
      <c r="N33" s="77">
        <v>47.3</v>
      </c>
      <c r="O33" s="78">
        <v>30.1</v>
      </c>
      <c r="P33" s="78">
        <v>10.9</v>
      </c>
      <c r="Q33" s="78">
        <v>15.5</v>
      </c>
      <c r="R33" s="78">
        <v>0.9</v>
      </c>
      <c r="S33" s="78">
        <v>0.73</v>
      </c>
      <c r="T33" s="78">
        <v>0.19</v>
      </c>
      <c r="U33" s="77">
        <v>86</v>
      </c>
      <c r="V33" s="71"/>
      <c r="W33" s="40"/>
      <c r="X33" s="71"/>
      <c r="Y33" s="40"/>
      <c r="Z33" s="71"/>
      <c r="AA33" s="40"/>
      <c r="AB33" s="71"/>
      <c r="AD33" s="44"/>
      <c r="AE33" s="44"/>
      <c r="AF33" s="44"/>
      <c r="AG33" s="44"/>
      <c r="AH33" s="44"/>
      <c r="AI33" s="44"/>
      <c r="AJ33" s="44"/>
      <c r="AK33" s="44"/>
    </row>
    <row r="34" spans="2:37" ht="16.5" customHeight="1" thickBot="1">
      <c r="B34" s="40"/>
      <c r="C34" s="102"/>
      <c r="D34" s="102"/>
      <c r="E34" s="102"/>
      <c r="F34" s="102"/>
      <c r="G34" s="102"/>
      <c r="H34" s="102"/>
      <c r="I34" s="102"/>
      <c r="J34" s="198">
        <f t="shared" si="0"/>
        <v>23</v>
      </c>
      <c r="K34" s="205" t="s">
        <v>88</v>
      </c>
      <c r="L34" s="75" t="s">
        <v>86</v>
      </c>
      <c r="M34" s="96">
        <v>2006</v>
      </c>
      <c r="N34" s="77">
        <v>17</v>
      </c>
      <c r="O34" s="78">
        <v>15.7</v>
      </c>
      <c r="P34" s="78">
        <v>20.6</v>
      </c>
      <c r="Q34" s="78">
        <v>0.5</v>
      </c>
      <c r="R34" s="78">
        <v>1.55</v>
      </c>
      <c r="S34" s="78">
        <v>0.89</v>
      </c>
      <c r="T34" s="78">
        <v>0.35</v>
      </c>
      <c r="U34" s="77">
        <v>112</v>
      </c>
      <c r="V34" s="71"/>
      <c r="W34" s="40"/>
      <c r="X34" s="71"/>
      <c r="Y34" s="40"/>
      <c r="Z34" s="71"/>
      <c r="AA34" s="40"/>
      <c r="AB34" s="71"/>
      <c r="AD34" s="44"/>
      <c r="AE34" s="44"/>
      <c r="AF34" s="44"/>
      <c r="AG34" s="44"/>
      <c r="AH34" s="44"/>
      <c r="AI34" s="44"/>
      <c r="AJ34" s="44"/>
      <c r="AK34" s="44"/>
    </row>
    <row r="35" spans="2:28" ht="16.5" customHeight="1">
      <c r="B35" s="103"/>
      <c r="C35" s="104"/>
      <c r="D35" s="104"/>
      <c r="E35" s="104"/>
      <c r="F35" s="105"/>
      <c r="G35" s="104"/>
      <c r="H35" s="105"/>
      <c r="I35" s="106"/>
      <c r="J35" s="198">
        <f t="shared" si="0"/>
        <v>24</v>
      </c>
      <c r="K35" s="209" t="s">
        <v>89</v>
      </c>
      <c r="L35" s="66" t="s">
        <v>74</v>
      </c>
      <c r="M35" s="62"/>
      <c r="N35" s="72"/>
      <c r="O35" s="70"/>
      <c r="P35" s="70"/>
      <c r="Q35" s="70"/>
      <c r="R35" s="70"/>
      <c r="S35" s="70"/>
      <c r="T35" s="70"/>
      <c r="U35" s="72"/>
      <c r="V35" s="71"/>
      <c r="W35" s="40"/>
      <c r="X35" s="71"/>
      <c r="Y35" s="40"/>
      <c r="Z35" s="71"/>
      <c r="AA35" s="40"/>
      <c r="AB35" s="71"/>
    </row>
    <row r="36" spans="2:28" ht="16.5" customHeight="1">
      <c r="B36" s="107" t="s">
        <v>90</v>
      </c>
      <c r="C36" s="108"/>
      <c r="D36" s="108"/>
      <c r="E36" s="108"/>
      <c r="F36" s="109" t="s">
        <v>6</v>
      </c>
      <c r="G36" s="108"/>
      <c r="H36" s="109" t="s">
        <v>7</v>
      </c>
      <c r="I36" s="110"/>
      <c r="J36" s="198">
        <f t="shared" si="0"/>
        <v>25</v>
      </c>
      <c r="K36" s="206" t="s">
        <v>91</v>
      </c>
      <c r="L36" s="66" t="s">
        <v>92</v>
      </c>
      <c r="M36" s="62">
        <v>2006</v>
      </c>
      <c r="N36" s="72">
        <v>91</v>
      </c>
      <c r="O36" s="70">
        <v>30.3</v>
      </c>
      <c r="P36" s="70">
        <v>10.5</v>
      </c>
      <c r="Q36" s="70">
        <v>8.1</v>
      </c>
      <c r="R36" s="70">
        <v>0.82</v>
      </c>
      <c r="S36" s="70">
        <v>0.43</v>
      </c>
      <c r="T36" s="70">
        <v>0.29</v>
      </c>
      <c r="U36" s="72">
        <v>87</v>
      </c>
      <c r="V36" s="71"/>
      <c r="W36" s="40"/>
      <c r="X36" s="71"/>
      <c r="Y36" s="40"/>
      <c r="Z36" s="71"/>
      <c r="AA36" s="40"/>
      <c r="AB36" s="71"/>
    </row>
    <row r="37" spans="2:28" ht="16.5" customHeight="1">
      <c r="B37" s="111" t="s">
        <v>93</v>
      </c>
      <c r="C37" s="112"/>
      <c r="D37" s="112"/>
      <c r="E37" s="112"/>
      <c r="F37" s="112"/>
      <c r="G37" s="112"/>
      <c r="H37" s="112"/>
      <c r="I37" s="113"/>
      <c r="J37" s="198">
        <f t="shared" si="0"/>
        <v>26</v>
      </c>
      <c r="K37" s="206" t="s">
        <v>94</v>
      </c>
      <c r="L37" s="66" t="s">
        <v>92</v>
      </c>
      <c r="M37" s="62">
        <v>2006</v>
      </c>
      <c r="N37" s="72">
        <v>36.8</v>
      </c>
      <c r="O37" s="70">
        <v>34.4</v>
      </c>
      <c r="P37" s="70">
        <v>9.8</v>
      </c>
      <c r="Q37" s="70">
        <v>10.6</v>
      </c>
      <c r="R37" s="70">
        <v>0.45</v>
      </c>
      <c r="S37" s="70">
        <v>0.4</v>
      </c>
      <c r="T37" s="70">
        <v>0.09</v>
      </c>
      <c r="U37" s="72">
        <v>85</v>
      </c>
      <c r="V37" s="71"/>
      <c r="W37" s="40"/>
      <c r="X37" s="71"/>
      <c r="Y37" s="40"/>
      <c r="Z37" s="71"/>
      <c r="AA37" s="40"/>
      <c r="AB37" s="71"/>
    </row>
    <row r="38" spans="2:28" ht="16.5" customHeight="1">
      <c r="B38" s="114" t="s">
        <v>95</v>
      </c>
      <c r="C38" s="115"/>
      <c r="D38" s="115"/>
      <c r="E38" s="115"/>
      <c r="F38" s="116">
        <f>((AD15*AD17*F15*1000)-(10*(AD13-AD12))+((0.0592*F15*AD24^0.75)*((545/(AD13*0.96))^0.75)*((AD13-AD12)/F15)^1.097))*0.00220462</f>
        <v>12.578378365010384</v>
      </c>
      <c r="G38" s="117" t="s">
        <v>96</v>
      </c>
      <c r="H38" s="116">
        <f>((AE15*AE17*H15*1000)-(10*(AE13-AE12))+((0.0592*H15*AE24^0.75)*((545/(AE13*0.96))^0.75)*((AE13-AE12)/H15)^1.097))*0.00220462</f>
        <v>53.85037836501038</v>
      </c>
      <c r="I38" s="118" t="s">
        <v>96</v>
      </c>
      <c r="J38" s="198">
        <f t="shared" si="0"/>
        <v>27</v>
      </c>
      <c r="K38" s="206" t="s">
        <v>97</v>
      </c>
      <c r="L38" s="66" t="s">
        <v>92</v>
      </c>
      <c r="M38" s="62">
        <v>2006</v>
      </c>
      <c r="N38" s="72">
        <v>47.1</v>
      </c>
      <c r="O38" s="70">
        <v>26</v>
      </c>
      <c r="P38" s="70">
        <v>14.6</v>
      </c>
      <c r="Q38" s="70">
        <v>6.2</v>
      </c>
      <c r="R38" s="70">
        <v>1.05</v>
      </c>
      <c r="S38" s="70">
        <v>0.4</v>
      </c>
      <c r="T38" s="70">
        <v>0.27</v>
      </c>
      <c r="U38" s="72">
        <v>110</v>
      </c>
      <c r="V38" s="71"/>
      <c r="W38" s="40"/>
      <c r="X38" s="71"/>
      <c r="Y38" s="40"/>
      <c r="Z38" s="71"/>
      <c r="AA38" s="40"/>
      <c r="AB38" s="71"/>
    </row>
    <row r="39" spans="2:28" ht="16.5" customHeight="1">
      <c r="B39" s="114"/>
      <c r="C39" s="119" t="s">
        <v>98</v>
      </c>
      <c r="D39" s="115" t="s">
        <v>99</v>
      </c>
      <c r="E39" s="115"/>
      <c r="F39" s="116">
        <f>(F38*AD11)/2000</f>
        <v>0.6289189182505192</v>
      </c>
      <c r="G39" s="117" t="s">
        <v>100</v>
      </c>
      <c r="H39" s="116">
        <f>(H38*AE11)/2000</f>
        <v>6.731297295626297</v>
      </c>
      <c r="I39" s="118" t="s">
        <v>100</v>
      </c>
      <c r="J39" s="198">
        <f t="shared" si="0"/>
        <v>28</v>
      </c>
      <c r="K39" s="205" t="s">
        <v>101</v>
      </c>
      <c r="L39" s="75" t="s">
        <v>92</v>
      </c>
      <c r="M39" s="96">
        <v>2006</v>
      </c>
      <c r="N39" s="77">
        <v>36.2</v>
      </c>
      <c r="O39" s="78">
        <v>13.7</v>
      </c>
      <c r="P39" s="78">
        <v>18.62</v>
      </c>
      <c r="Q39" s="78">
        <v>1.1</v>
      </c>
      <c r="R39" s="78">
        <v>1.41</v>
      </c>
      <c r="S39" s="78">
        <v>0.32</v>
      </c>
      <c r="T39" s="78">
        <v>0.5</v>
      </c>
      <c r="U39" s="77">
        <v>87</v>
      </c>
      <c r="V39" s="71"/>
      <c r="W39" s="40"/>
      <c r="X39" s="71"/>
      <c r="Y39" s="40"/>
      <c r="Z39" s="71"/>
      <c r="AA39" s="40"/>
      <c r="AB39" s="71"/>
    </row>
    <row r="40" spans="2:28" ht="16.5" customHeight="1">
      <c r="B40" s="114" t="s">
        <v>102</v>
      </c>
      <c r="C40" s="115"/>
      <c r="D40" s="115" t="s">
        <v>103</v>
      </c>
      <c r="E40" s="115"/>
      <c r="F40" s="116">
        <f>F38*2.29</f>
        <v>28.80448645587378</v>
      </c>
      <c r="G40" s="117" t="s">
        <v>96</v>
      </c>
      <c r="H40" s="116">
        <f>H38*2.29</f>
        <v>123.31736645587377</v>
      </c>
      <c r="I40" s="118" t="s">
        <v>96</v>
      </c>
      <c r="J40" s="198">
        <f t="shared" si="0"/>
        <v>29</v>
      </c>
      <c r="K40" s="205" t="s">
        <v>104</v>
      </c>
      <c r="L40" s="75" t="s">
        <v>105</v>
      </c>
      <c r="M40" s="96"/>
      <c r="N40" s="77"/>
      <c r="O40" s="78"/>
      <c r="P40" s="78"/>
      <c r="Q40" s="78"/>
      <c r="R40" s="78"/>
      <c r="S40" s="78"/>
      <c r="T40" s="78"/>
      <c r="U40" s="77"/>
      <c r="V40" s="71"/>
      <c r="W40" s="40"/>
      <c r="X40" s="71"/>
      <c r="Y40" s="40"/>
      <c r="Z40" s="71"/>
      <c r="AA40" s="40"/>
      <c r="AB40" s="71"/>
    </row>
    <row r="41" spans="2:28" ht="16.5" customHeight="1">
      <c r="B41" s="114"/>
      <c r="C41" s="119" t="s">
        <v>98</v>
      </c>
      <c r="D41" s="115" t="s">
        <v>99</v>
      </c>
      <c r="E41" s="115"/>
      <c r="F41" s="116">
        <f>F39*2.29</f>
        <v>1.4402243227936888</v>
      </c>
      <c r="G41" s="117" t="s">
        <v>100</v>
      </c>
      <c r="H41" s="116">
        <f>H39*2.29</f>
        <v>15.41467080698422</v>
      </c>
      <c r="I41" s="118" t="s">
        <v>100</v>
      </c>
      <c r="J41" s="198">
        <f t="shared" si="0"/>
        <v>30</v>
      </c>
      <c r="K41" s="205" t="s">
        <v>106</v>
      </c>
      <c r="L41" s="75" t="s">
        <v>107</v>
      </c>
      <c r="M41" s="96"/>
      <c r="N41" s="77"/>
      <c r="O41" s="78"/>
      <c r="P41" s="78"/>
      <c r="Q41" s="78"/>
      <c r="R41" s="78"/>
      <c r="S41" s="78"/>
      <c r="T41" s="78"/>
      <c r="U41" s="77"/>
      <c r="V41" s="71"/>
      <c r="W41" s="40"/>
      <c r="X41" s="71"/>
      <c r="Y41" s="40"/>
      <c r="Z41" s="71"/>
      <c r="AA41" s="40"/>
      <c r="AB41" s="71"/>
    </row>
    <row r="42" spans="2:28" ht="16.5" customHeight="1">
      <c r="B42" s="114"/>
      <c r="C42" s="115"/>
      <c r="D42" s="115"/>
      <c r="E42" s="115"/>
      <c r="F42" s="112"/>
      <c r="G42" s="112"/>
      <c r="H42" s="112"/>
      <c r="I42" s="113"/>
      <c r="J42" s="198">
        <f t="shared" si="0"/>
        <v>31</v>
      </c>
      <c r="K42" s="205" t="s">
        <v>108</v>
      </c>
      <c r="L42" s="75" t="s">
        <v>109</v>
      </c>
      <c r="M42" s="96">
        <v>2006</v>
      </c>
      <c r="N42" s="77">
        <v>89.5</v>
      </c>
      <c r="O42" s="78">
        <v>31.4</v>
      </c>
      <c r="P42" s="78">
        <v>7.8</v>
      </c>
      <c r="Q42" s="78">
        <v>11.6</v>
      </c>
      <c r="R42" s="78">
        <v>0.46</v>
      </c>
      <c r="S42" s="78">
        <v>0.6</v>
      </c>
      <c r="T42" s="120" t="s">
        <v>42</v>
      </c>
      <c r="U42" s="121" t="s">
        <v>42</v>
      </c>
      <c r="V42" s="71"/>
      <c r="W42" s="40"/>
      <c r="X42" s="71"/>
      <c r="Y42" s="40"/>
      <c r="Z42" s="71"/>
      <c r="AA42" s="40"/>
      <c r="AB42" s="71"/>
    </row>
    <row r="43" spans="2:28" ht="16.5" customHeight="1">
      <c r="B43" s="114" t="s">
        <v>110</v>
      </c>
      <c r="C43" s="115"/>
      <c r="D43" s="115"/>
      <c r="E43" s="115"/>
      <c r="F43" s="116">
        <f>((AD15*AD16/6.25*F15*1000)-(41.2*(AD13-AD12))+((0.243*F15*AD24^0.75)*((545/(AD13*0.96))^0.75)*((AD13-AD12)/F15)^1.097))*0.00220462</f>
        <v>78.2744038127579</v>
      </c>
      <c r="G43" s="117" t="s">
        <v>96</v>
      </c>
      <c r="H43" s="116">
        <f>((AE15*AE16/6.25*H15*1000)-(41.2*(AE13-AE12))+((0.243*H15*AE24^0.75)*((545/(AE13*0.96))^0.75)*((AE13-AE12)/H15)^1.097))*0.00220462</f>
        <v>85.71075581275791</v>
      </c>
      <c r="I43" s="118" t="s">
        <v>96</v>
      </c>
      <c r="J43" s="198">
        <f t="shared" si="0"/>
        <v>32</v>
      </c>
      <c r="K43" s="206" t="s">
        <v>111</v>
      </c>
      <c r="L43" s="66" t="s">
        <v>109</v>
      </c>
      <c r="M43" s="62">
        <v>2006</v>
      </c>
      <c r="N43" s="72">
        <v>33.3</v>
      </c>
      <c r="O43" s="70">
        <v>31.8</v>
      </c>
      <c r="P43" s="70">
        <v>8.7</v>
      </c>
      <c r="Q43" s="70">
        <v>10.3</v>
      </c>
      <c r="R43" s="70">
        <v>0.51</v>
      </c>
      <c r="S43" s="70">
        <v>0.52</v>
      </c>
      <c r="T43" s="122" t="s">
        <v>42</v>
      </c>
      <c r="U43" s="123" t="s">
        <v>42</v>
      </c>
      <c r="V43" s="71"/>
      <c r="W43" s="40"/>
      <c r="X43" s="71"/>
      <c r="Y43" s="40"/>
      <c r="Z43" s="71"/>
      <c r="AA43" s="40"/>
      <c r="AB43" s="71"/>
    </row>
    <row r="44" spans="2:28" ht="16.5" customHeight="1">
      <c r="B44" s="114"/>
      <c r="C44" s="119" t="s">
        <v>98</v>
      </c>
      <c r="D44" s="124" t="s">
        <v>112</v>
      </c>
      <c r="E44" s="115"/>
      <c r="F44" s="116">
        <f>(AD11*F43)/2000</f>
        <v>3.913720190637895</v>
      </c>
      <c r="G44" s="117" t="s">
        <v>100</v>
      </c>
      <c r="H44" s="116">
        <f>(AE11*H43)/2000</f>
        <v>10.713844476594739</v>
      </c>
      <c r="I44" s="118" t="s">
        <v>100</v>
      </c>
      <c r="J44" s="198">
        <f t="shared" si="0"/>
        <v>33</v>
      </c>
      <c r="K44" s="206" t="s">
        <v>113</v>
      </c>
      <c r="L44" s="66" t="s">
        <v>109</v>
      </c>
      <c r="M44" s="62">
        <v>2006</v>
      </c>
      <c r="N44" s="72">
        <v>28.4</v>
      </c>
      <c r="O44" s="70">
        <v>22.8</v>
      </c>
      <c r="P44" s="70">
        <v>19</v>
      </c>
      <c r="Q44" s="122" t="s">
        <v>42</v>
      </c>
      <c r="R44" s="70">
        <v>1.13</v>
      </c>
      <c r="S44" s="70">
        <v>1.04</v>
      </c>
      <c r="T44" s="122" t="s">
        <v>42</v>
      </c>
      <c r="U44" s="123" t="s">
        <v>42</v>
      </c>
      <c r="V44" s="71"/>
      <c r="W44" s="40"/>
      <c r="X44" s="71"/>
      <c r="Y44" s="40"/>
      <c r="Z44" s="71"/>
      <c r="AA44" s="40"/>
      <c r="AB44" s="71"/>
    </row>
    <row r="45" spans="2:28" ht="16.5" customHeight="1">
      <c r="B45" s="114" t="s">
        <v>114</v>
      </c>
      <c r="C45" s="115"/>
      <c r="D45" s="115"/>
      <c r="E45" s="115"/>
      <c r="F45" s="125">
        <f>AG25/F43</f>
        <v>0.49500000000000005</v>
      </c>
      <c r="G45" s="112"/>
      <c r="H45" s="125">
        <f>AH25/H43</f>
        <v>0.1375</v>
      </c>
      <c r="I45" s="113"/>
      <c r="J45" s="198">
        <f t="shared" si="0"/>
        <v>34</v>
      </c>
      <c r="K45" s="206" t="s">
        <v>115</v>
      </c>
      <c r="L45" s="66" t="s">
        <v>116</v>
      </c>
      <c r="M45" s="62">
        <v>2006</v>
      </c>
      <c r="N45" s="72">
        <v>36</v>
      </c>
      <c r="O45" s="70">
        <v>33</v>
      </c>
      <c r="P45" s="70">
        <v>10</v>
      </c>
      <c r="Q45" s="122" t="s">
        <v>42</v>
      </c>
      <c r="R45" s="70">
        <v>0.5</v>
      </c>
      <c r="S45" s="70">
        <v>0.46</v>
      </c>
      <c r="T45" s="70">
        <v>0.7</v>
      </c>
      <c r="U45" s="72">
        <v>100</v>
      </c>
      <c r="V45" s="71"/>
      <c r="W45" s="40"/>
      <c r="X45" s="71"/>
      <c r="Y45" s="40"/>
      <c r="Z45" s="71"/>
      <c r="AA45" s="40"/>
      <c r="AB45" s="71"/>
    </row>
    <row r="46" spans="2:28" ht="16.5" customHeight="1">
      <c r="B46" s="114" t="s">
        <v>117</v>
      </c>
      <c r="C46" s="115"/>
      <c r="D46" s="115"/>
      <c r="E46" s="115"/>
      <c r="F46" s="116">
        <f>AG25</f>
        <v>38.74582988731516</v>
      </c>
      <c r="G46" s="117" t="s">
        <v>96</v>
      </c>
      <c r="H46" s="116">
        <f>AH25</f>
        <v>11.785228924254213</v>
      </c>
      <c r="I46" s="118" t="s">
        <v>96</v>
      </c>
      <c r="J46" s="198">
        <f t="shared" si="0"/>
        <v>35</v>
      </c>
      <c r="K46" s="206" t="s">
        <v>118</v>
      </c>
      <c r="L46" s="66" t="s">
        <v>116</v>
      </c>
      <c r="M46" s="62">
        <v>2006</v>
      </c>
      <c r="N46" s="72">
        <v>25</v>
      </c>
      <c r="O46" s="70">
        <v>15</v>
      </c>
      <c r="P46" s="70">
        <v>12</v>
      </c>
      <c r="Q46" s="122" t="s">
        <v>42</v>
      </c>
      <c r="R46" s="70">
        <v>1.3</v>
      </c>
      <c r="S46" s="70">
        <v>0.8</v>
      </c>
      <c r="T46" s="70">
        <v>0.47</v>
      </c>
      <c r="U46" s="72">
        <v>120</v>
      </c>
      <c r="V46" s="71"/>
      <c r="W46" s="40"/>
      <c r="X46" s="71"/>
      <c r="Y46" s="40"/>
      <c r="Z46" s="71"/>
      <c r="AA46" s="40"/>
      <c r="AB46" s="71"/>
    </row>
    <row r="47" spans="2:28" ht="16.5" customHeight="1">
      <c r="B47" s="114"/>
      <c r="C47" s="119" t="s">
        <v>98</v>
      </c>
      <c r="D47" s="115" t="s">
        <v>119</v>
      </c>
      <c r="E47" s="115"/>
      <c r="F47" s="116">
        <f>(F46*AD11)/2000</f>
        <v>1.9372914943657582</v>
      </c>
      <c r="G47" s="117" t="s">
        <v>100</v>
      </c>
      <c r="H47" s="116">
        <f>(H46*AE11)/2000</f>
        <v>1.4731536155317766</v>
      </c>
      <c r="I47" s="118" t="s">
        <v>100</v>
      </c>
      <c r="J47" s="198">
        <f t="shared" si="0"/>
        <v>36</v>
      </c>
      <c r="K47" s="205" t="s">
        <v>120</v>
      </c>
      <c r="L47" s="75" t="s">
        <v>121</v>
      </c>
      <c r="M47" s="96">
        <v>2004</v>
      </c>
      <c r="N47" s="77">
        <v>0.97</v>
      </c>
      <c r="O47" s="78">
        <v>30.4</v>
      </c>
      <c r="P47" s="78">
        <v>0.97</v>
      </c>
      <c r="Q47" s="78">
        <v>0.97</v>
      </c>
      <c r="R47" s="78">
        <v>0.77</v>
      </c>
      <c r="S47" s="78">
        <v>0.97</v>
      </c>
      <c r="T47" s="78">
        <v>30.4</v>
      </c>
      <c r="U47" s="77">
        <v>0.77</v>
      </c>
      <c r="V47" s="71"/>
      <c r="W47" s="40"/>
      <c r="X47" s="71"/>
      <c r="Y47" s="40"/>
      <c r="Z47" s="71"/>
      <c r="AA47" s="40"/>
      <c r="AB47" s="71"/>
    </row>
    <row r="48" spans="2:28" ht="16.5" customHeight="1" thickBot="1">
      <c r="B48" s="126"/>
      <c r="C48" s="127"/>
      <c r="D48" s="127"/>
      <c r="E48" s="127"/>
      <c r="F48" s="127"/>
      <c r="G48" s="127"/>
      <c r="H48" s="127"/>
      <c r="I48" s="128"/>
      <c r="J48" s="198">
        <f t="shared" si="0"/>
        <v>37</v>
      </c>
      <c r="K48" s="205" t="s">
        <v>122</v>
      </c>
      <c r="L48" s="75" t="s">
        <v>29</v>
      </c>
      <c r="M48" s="96"/>
      <c r="N48" s="77"/>
      <c r="O48" s="78"/>
      <c r="P48" s="78"/>
      <c r="Q48" s="78"/>
      <c r="R48" s="78"/>
      <c r="S48" s="78"/>
      <c r="T48" s="78"/>
      <c r="U48" s="77"/>
      <c r="V48" s="71"/>
      <c r="W48" s="40"/>
      <c r="X48" s="71"/>
      <c r="Y48" s="40"/>
      <c r="Z48" s="71"/>
      <c r="AA48" s="40"/>
      <c r="AB48" s="71"/>
    </row>
    <row r="49" spans="10:28" ht="16.5" customHeight="1">
      <c r="J49" s="198">
        <f t="shared" si="0"/>
        <v>38</v>
      </c>
      <c r="K49" s="205" t="s">
        <v>123</v>
      </c>
      <c r="L49" s="75" t="s">
        <v>124</v>
      </c>
      <c r="M49" s="96"/>
      <c r="N49" s="77"/>
      <c r="O49" s="78"/>
      <c r="P49" s="78"/>
      <c r="Q49" s="78"/>
      <c r="R49" s="78"/>
      <c r="S49" s="78"/>
      <c r="T49" s="78"/>
      <c r="U49" s="77"/>
      <c r="V49" s="71"/>
      <c r="W49" s="40"/>
      <c r="X49" s="71"/>
      <c r="Y49" s="40"/>
      <c r="Z49" s="71"/>
      <c r="AA49" s="40"/>
      <c r="AB49" s="71"/>
    </row>
    <row r="50" spans="2:28" ht="16.5" customHeight="1">
      <c r="B50" s="102"/>
      <c r="C50" s="102"/>
      <c r="D50" s="102"/>
      <c r="E50" s="102"/>
      <c r="F50" s="102"/>
      <c r="G50" s="102"/>
      <c r="H50" s="102"/>
      <c r="I50" s="102"/>
      <c r="J50" s="198">
        <f t="shared" si="0"/>
        <v>39</v>
      </c>
      <c r="K50" s="205" t="s">
        <v>125</v>
      </c>
      <c r="L50" s="75" t="s">
        <v>126</v>
      </c>
      <c r="M50" s="96">
        <v>2006</v>
      </c>
      <c r="N50" s="77">
        <v>90.59</v>
      </c>
      <c r="O50" s="78">
        <v>31.48</v>
      </c>
      <c r="P50" s="78">
        <v>11.95</v>
      </c>
      <c r="Q50" s="78">
        <v>7.44</v>
      </c>
      <c r="R50" s="78">
        <v>1.15</v>
      </c>
      <c r="S50" s="78">
        <v>0.72</v>
      </c>
      <c r="T50" s="78">
        <v>0.27</v>
      </c>
      <c r="U50" s="77">
        <v>107.2</v>
      </c>
      <c r="V50" s="71"/>
      <c r="W50" s="40"/>
      <c r="X50" s="71"/>
      <c r="Y50" s="40"/>
      <c r="Z50" s="71"/>
      <c r="AA50" s="40"/>
      <c r="AB50" s="71"/>
    </row>
    <row r="51" spans="2:28" ht="16.5" customHeight="1">
      <c r="B51" s="102"/>
      <c r="C51" s="102"/>
      <c r="D51" s="102"/>
      <c r="E51" s="102"/>
      <c r="F51" s="102"/>
      <c r="G51" s="102"/>
      <c r="H51" s="102"/>
      <c r="I51" s="102"/>
      <c r="J51" s="198">
        <f t="shared" si="0"/>
        <v>40</v>
      </c>
      <c r="K51" s="204" t="s">
        <v>127</v>
      </c>
      <c r="L51" s="129" t="s">
        <v>126</v>
      </c>
      <c r="M51" s="130">
        <v>2006</v>
      </c>
      <c r="N51" s="131">
        <v>46.53</v>
      </c>
      <c r="O51" s="132">
        <v>28.51</v>
      </c>
      <c r="P51" s="132">
        <v>13.33</v>
      </c>
      <c r="Q51" s="132">
        <v>5.74</v>
      </c>
      <c r="R51" s="132">
        <v>1.42</v>
      </c>
      <c r="S51" s="132">
        <v>0.89</v>
      </c>
      <c r="T51" s="132">
        <v>0.37</v>
      </c>
      <c r="U51" s="131">
        <v>105.91</v>
      </c>
      <c r="V51" s="71"/>
      <c r="W51" s="40"/>
      <c r="X51" s="71"/>
      <c r="Y51" s="40"/>
      <c r="Z51" s="71"/>
      <c r="AA51" s="40"/>
      <c r="AB51" s="71"/>
    </row>
    <row r="52" spans="2:28" ht="16.5" customHeight="1">
      <c r="B52" s="102"/>
      <c r="C52" s="102"/>
      <c r="D52" s="102"/>
      <c r="E52" s="102"/>
      <c r="F52" s="102"/>
      <c r="G52" s="102"/>
      <c r="H52" s="102"/>
      <c r="I52" s="102"/>
      <c r="J52" s="198">
        <f t="shared" si="0"/>
        <v>41</v>
      </c>
      <c r="K52" s="204" t="s">
        <v>128</v>
      </c>
      <c r="L52" s="129" t="s">
        <v>129</v>
      </c>
      <c r="M52" s="130"/>
      <c r="N52" s="131"/>
      <c r="O52" s="132"/>
      <c r="P52" s="132"/>
      <c r="Q52" s="132"/>
      <c r="R52" s="132"/>
      <c r="S52" s="132"/>
      <c r="T52" s="132"/>
      <c r="U52" s="131"/>
      <c r="V52" s="71"/>
      <c r="W52" s="40"/>
      <c r="X52" s="71"/>
      <c r="Y52" s="40"/>
      <c r="Z52" s="71"/>
      <c r="AA52" s="40"/>
      <c r="AB52" s="71"/>
    </row>
    <row r="53" spans="2:28" ht="16.5" customHeight="1">
      <c r="B53" s="102"/>
      <c r="C53" s="102"/>
      <c r="D53" s="102"/>
      <c r="E53" s="102"/>
      <c r="F53" s="102"/>
      <c r="G53" s="102"/>
      <c r="H53" s="102"/>
      <c r="I53" s="102"/>
      <c r="J53" s="198">
        <f t="shared" si="0"/>
        <v>42</v>
      </c>
      <c r="K53" s="204" t="s">
        <v>130</v>
      </c>
      <c r="L53" s="129" t="s">
        <v>131</v>
      </c>
      <c r="M53" s="130">
        <v>2006</v>
      </c>
      <c r="N53" s="131">
        <v>33</v>
      </c>
      <c r="O53" s="132">
        <v>30.3</v>
      </c>
      <c r="P53" s="133">
        <v>8.2</v>
      </c>
      <c r="Q53" s="133" t="s">
        <v>42</v>
      </c>
      <c r="R53" s="132">
        <v>0.53</v>
      </c>
      <c r="S53" s="132">
        <v>0.36</v>
      </c>
      <c r="T53" s="122" t="s">
        <v>42</v>
      </c>
      <c r="U53" s="123" t="s">
        <v>42</v>
      </c>
      <c r="V53" s="71"/>
      <c r="W53" s="40"/>
      <c r="X53" s="71"/>
      <c r="Y53" s="40"/>
      <c r="Z53" s="71"/>
      <c r="AA53" s="40"/>
      <c r="AB53" s="71"/>
    </row>
    <row r="54" spans="2:28" ht="16.5" customHeight="1">
      <c r="B54" s="102"/>
      <c r="C54" s="102"/>
      <c r="D54" s="102"/>
      <c r="E54" s="102"/>
      <c r="F54" s="102"/>
      <c r="G54" s="102"/>
      <c r="H54" s="102"/>
      <c r="I54" s="102"/>
      <c r="J54" s="198">
        <f t="shared" si="0"/>
        <v>43</v>
      </c>
      <c r="K54" s="65"/>
      <c r="L54" s="129"/>
      <c r="M54" s="130"/>
      <c r="N54" s="72"/>
      <c r="O54" s="70"/>
      <c r="P54" s="133"/>
      <c r="Q54" s="133"/>
      <c r="R54" s="70"/>
      <c r="S54" s="70"/>
      <c r="T54" s="70"/>
      <c r="U54" s="72"/>
      <c r="V54" s="71"/>
      <c r="W54" s="40"/>
      <c r="X54" s="71"/>
      <c r="Y54" s="40"/>
      <c r="Z54" s="71"/>
      <c r="AA54" s="40"/>
      <c r="AB54" s="71"/>
    </row>
    <row r="55" spans="2:28" ht="16.5" customHeight="1">
      <c r="B55" s="102"/>
      <c r="C55" s="102"/>
      <c r="D55" s="102"/>
      <c r="E55" s="102"/>
      <c r="F55" s="102"/>
      <c r="G55" s="102"/>
      <c r="H55" s="102"/>
      <c r="I55" s="102"/>
      <c r="J55" s="198">
        <f t="shared" si="0"/>
        <v>44</v>
      </c>
      <c r="K55" s="95"/>
      <c r="L55" s="75"/>
      <c r="M55" s="96"/>
      <c r="N55" s="77"/>
      <c r="O55" s="78"/>
      <c r="P55" s="78"/>
      <c r="Q55" s="78"/>
      <c r="R55" s="78"/>
      <c r="S55" s="78"/>
      <c r="T55" s="78"/>
      <c r="U55" s="77"/>
      <c r="V55" s="71"/>
      <c r="W55" s="40"/>
      <c r="X55" s="71"/>
      <c r="Y55" s="40"/>
      <c r="Z55" s="71"/>
      <c r="AA55" s="40"/>
      <c r="AB55" s="71"/>
    </row>
    <row r="56" spans="10:28" ht="16.5" customHeight="1">
      <c r="J56" s="207">
        <v>45</v>
      </c>
      <c r="K56" s="205" t="s">
        <v>132</v>
      </c>
      <c r="L56" s="75" t="s">
        <v>133</v>
      </c>
      <c r="M56" s="96">
        <v>2004</v>
      </c>
      <c r="N56" s="77">
        <v>0.31</v>
      </c>
      <c r="O56" s="78">
        <v>28.3</v>
      </c>
      <c r="P56" s="78">
        <v>0.31</v>
      </c>
      <c r="Q56" s="78">
        <v>0.31</v>
      </c>
      <c r="R56" s="78">
        <v>0.79</v>
      </c>
      <c r="S56" s="78">
        <v>0.31</v>
      </c>
      <c r="T56" s="78">
        <v>28.3</v>
      </c>
      <c r="U56" s="77">
        <v>0.79</v>
      </c>
      <c r="V56" s="71"/>
      <c r="W56" s="40"/>
      <c r="X56" s="71"/>
      <c r="Y56" s="40"/>
      <c r="Z56" s="71"/>
      <c r="AA56" s="40"/>
      <c r="AB56" s="71"/>
    </row>
    <row r="57" spans="10:28" ht="16.5" customHeight="1">
      <c r="J57" s="198">
        <f t="shared" si="0"/>
        <v>46</v>
      </c>
      <c r="K57" s="210" t="s">
        <v>134</v>
      </c>
      <c r="L57" s="75" t="s">
        <v>135</v>
      </c>
      <c r="M57" s="96">
        <v>2004</v>
      </c>
      <c r="N57" s="77">
        <v>0.63</v>
      </c>
      <c r="O57" s="78">
        <v>30.1</v>
      </c>
      <c r="P57" s="78">
        <v>0.63</v>
      </c>
      <c r="Q57" s="78">
        <v>0.63</v>
      </c>
      <c r="R57" s="78">
        <v>0.68</v>
      </c>
      <c r="S57" s="78">
        <v>0.63</v>
      </c>
      <c r="T57" s="78">
        <v>30.1</v>
      </c>
      <c r="U57" s="77">
        <v>0.68</v>
      </c>
      <c r="V57" s="71"/>
      <c r="W57" s="40"/>
      <c r="X57" s="71"/>
      <c r="Y57" s="40"/>
      <c r="Z57" s="71"/>
      <c r="AA57" s="40"/>
      <c r="AB57" s="71"/>
    </row>
    <row r="58" spans="10:28" ht="16.5" customHeight="1">
      <c r="J58" s="198">
        <f t="shared" si="0"/>
        <v>47</v>
      </c>
      <c r="K58" s="205" t="s">
        <v>136</v>
      </c>
      <c r="L58" s="75" t="s">
        <v>137</v>
      </c>
      <c r="M58" s="96">
        <v>2004</v>
      </c>
      <c r="N58" s="77">
        <v>0.71</v>
      </c>
      <c r="O58" s="78">
        <v>29.1</v>
      </c>
      <c r="P58" s="78">
        <v>0.71</v>
      </c>
      <c r="Q58" s="78">
        <v>0.71</v>
      </c>
      <c r="R58" s="78">
        <v>0.84</v>
      </c>
      <c r="S58" s="78">
        <v>0.71</v>
      </c>
      <c r="T58" s="78">
        <v>29.1</v>
      </c>
      <c r="U58" s="77">
        <v>0.84</v>
      </c>
      <c r="V58" s="71"/>
      <c r="W58" s="40"/>
      <c r="X58" s="71"/>
      <c r="Y58" s="40"/>
      <c r="Z58" s="71"/>
      <c r="AA58" s="40"/>
      <c r="AB58" s="71"/>
    </row>
    <row r="59" spans="10:28" ht="16.5" customHeight="1">
      <c r="J59" s="198">
        <f t="shared" si="0"/>
        <v>48</v>
      </c>
      <c r="K59" s="204" t="s">
        <v>138</v>
      </c>
      <c r="L59" s="66" t="s">
        <v>139</v>
      </c>
      <c r="M59" s="62">
        <v>2004</v>
      </c>
      <c r="N59" s="72">
        <v>0.68</v>
      </c>
      <c r="O59" s="70">
        <v>30.1</v>
      </c>
      <c r="P59" s="70">
        <v>0.68</v>
      </c>
      <c r="Q59" s="70">
        <v>0.68</v>
      </c>
      <c r="R59" s="70">
        <v>0.68</v>
      </c>
      <c r="S59" s="70">
        <v>0.68</v>
      </c>
      <c r="T59" s="70">
        <v>30.1</v>
      </c>
      <c r="U59" s="72">
        <v>0.68</v>
      </c>
      <c r="V59" s="71"/>
      <c r="W59" s="40"/>
      <c r="X59" s="71"/>
      <c r="Y59" s="40"/>
      <c r="Z59" s="71"/>
      <c r="AA59" s="40"/>
      <c r="AB59" s="71"/>
    </row>
    <row r="60" spans="10:28" ht="16.5" customHeight="1">
      <c r="J60" s="198">
        <f t="shared" si="0"/>
        <v>49</v>
      </c>
      <c r="K60" s="85"/>
      <c r="L60" s="66"/>
      <c r="M60" s="62"/>
      <c r="N60" s="72"/>
      <c r="O60" s="70"/>
      <c r="P60" s="70"/>
      <c r="Q60" s="70"/>
      <c r="R60" s="70"/>
      <c r="S60" s="70"/>
      <c r="T60" s="70"/>
      <c r="U60" s="72"/>
      <c r="V60" s="71"/>
      <c r="W60" s="40"/>
      <c r="X60" s="71"/>
      <c r="Y60" s="40"/>
      <c r="Z60" s="71"/>
      <c r="AA60" s="40"/>
      <c r="AB60" s="71"/>
    </row>
    <row r="61" spans="10:28" ht="16.5" customHeight="1">
      <c r="J61" s="198">
        <f t="shared" si="0"/>
        <v>50</v>
      </c>
      <c r="K61" s="85"/>
      <c r="L61" s="66"/>
      <c r="M61" s="62"/>
      <c r="N61" s="72"/>
      <c r="O61" s="70"/>
      <c r="P61" s="70"/>
      <c r="Q61" s="70"/>
      <c r="R61" s="70"/>
      <c r="S61" s="70"/>
      <c r="T61" s="70"/>
      <c r="U61" s="72"/>
      <c r="V61" s="71"/>
      <c r="W61" s="40"/>
      <c r="X61" s="71"/>
      <c r="Y61" s="40"/>
      <c r="Z61" s="71"/>
      <c r="AA61" s="40"/>
      <c r="AB61" s="71"/>
    </row>
    <row r="62" spans="10:28" ht="16.5" customHeight="1">
      <c r="J62" s="198">
        <f t="shared" si="0"/>
        <v>51</v>
      </c>
      <c r="K62" s="204" t="s">
        <v>140</v>
      </c>
      <c r="L62" s="66" t="s">
        <v>141</v>
      </c>
      <c r="M62" s="62">
        <v>2004</v>
      </c>
      <c r="N62" s="72">
        <v>0.83</v>
      </c>
      <c r="O62" s="70">
        <v>32.8</v>
      </c>
      <c r="P62" s="70">
        <v>0.83</v>
      </c>
      <c r="Q62" s="70">
        <v>0.83</v>
      </c>
      <c r="R62" s="70">
        <v>0.83</v>
      </c>
      <c r="S62" s="70">
        <v>0.83</v>
      </c>
      <c r="T62" s="70">
        <v>32.8</v>
      </c>
      <c r="U62" s="72">
        <v>0.83</v>
      </c>
      <c r="V62" s="71"/>
      <c r="W62" s="40"/>
      <c r="X62" s="71"/>
      <c r="Y62" s="40"/>
      <c r="Z62" s="71"/>
      <c r="AA62" s="40"/>
      <c r="AB62" s="71"/>
    </row>
    <row r="63" spans="10:28" ht="16.5" customHeight="1">
      <c r="J63" s="198">
        <f t="shared" si="0"/>
        <v>52</v>
      </c>
      <c r="K63" s="205" t="s">
        <v>142</v>
      </c>
      <c r="L63" s="75" t="s">
        <v>143</v>
      </c>
      <c r="M63" s="96">
        <v>2004</v>
      </c>
      <c r="N63" s="77">
        <v>0.43</v>
      </c>
      <c r="O63" s="78">
        <v>32</v>
      </c>
      <c r="P63" s="78">
        <v>0.43</v>
      </c>
      <c r="Q63" s="78">
        <v>0.43</v>
      </c>
      <c r="R63" s="78">
        <v>0.87</v>
      </c>
      <c r="S63" s="78">
        <v>0.43</v>
      </c>
      <c r="T63" s="78">
        <v>32</v>
      </c>
      <c r="U63" s="77">
        <v>0.87</v>
      </c>
      <c r="V63" s="71"/>
      <c r="W63" s="40"/>
      <c r="X63" s="71"/>
      <c r="Y63" s="40"/>
      <c r="Z63" s="71"/>
      <c r="AA63" s="40"/>
      <c r="AB63" s="71"/>
    </row>
    <row r="64" spans="10:28" ht="16.5" customHeight="1">
      <c r="J64" s="198">
        <f t="shared" si="0"/>
        <v>53</v>
      </c>
      <c r="K64" s="205" t="s">
        <v>144</v>
      </c>
      <c r="L64" s="75" t="s">
        <v>145</v>
      </c>
      <c r="M64" s="96">
        <v>2004</v>
      </c>
      <c r="N64" s="77">
        <v>0.68</v>
      </c>
      <c r="O64" s="78">
        <v>31</v>
      </c>
      <c r="P64" s="78">
        <v>0.68</v>
      </c>
      <c r="Q64" s="78">
        <v>0.68</v>
      </c>
      <c r="R64" s="78">
        <v>0.73</v>
      </c>
      <c r="S64" s="78">
        <v>0.68</v>
      </c>
      <c r="T64" s="78">
        <v>31</v>
      </c>
      <c r="U64" s="77">
        <v>0.73</v>
      </c>
      <c r="V64" s="71"/>
      <c r="W64" s="40"/>
      <c r="X64" s="71"/>
      <c r="Y64" s="40"/>
      <c r="Z64" s="71"/>
      <c r="AA64" s="40"/>
      <c r="AB64" s="71"/>
    </row>
    <row r="65" spans="10:28" ht="16.5" customHeight="1">
      <c r="J65" s="198">
        <f t="shared" si="0"/>
        <v>54</v>
      </c>
      <c r="K65" s="205" t="s">
        <v>146</v>
      </c>
      <c r="L65" s="75" t="s">
        <v>147</v>
      </c>
      <c r="M65" s="96">
        <v>2004</v>
      </c>
      <c r="N65" s="77">
        <v>0.65</v>
      </c>
      <c r="O65" s="78">
        <v>30</v>
      </c>
      <c r="P65" s="78">
        <v>0.65</v>
      </c>
      <c r="Q65" s="78">
        <v>0.65</v>
      </c>
      <c r="R65" s="78">
        <v>0.74</v>
      </c>
      <c r="S65" s="78">
        <v>0.65</v>
      </c>
      <c r="T65" s="78">
        <v>30</v>
      </c>
      <c r="U65" s="77">
        <v>0.74</v>
      </c>
      <c r="V65" s="71"/>
      <c r="W65" s="40"/>
      <c r="X65" s="71"/>
      <c r="Y65" s="40"/>
      <c r="Z65" s="71"/>
      <c r="AA65" s="40"/>
      <c r="AB65" s="71"/>
    </row>
    <row r="66" spans="10:28" ht="16.5" customHeight="1">
      <c r="J66" s="198">
        <f t="shared" si="0"/>
        <v>55</v>
      </c>
      <c r="K66" s="210" t="s">
        <v>148</v>
      </c>
      <c r="L66" s="75" t="s">
        <v>149</v>
      </c>
      <c r="M66" s="96">
        <v>2004</v>
      </c>
      <c r="N66" s="77">
        <v>0.85</v>
      </c>
      <c r="O66" s="78">
        <v>31.5</v>
      </c>
      <c r="P66" s="78">
        <v>0.85</v>
      </c>
      <c r="Q66" s="78">
        <v>0.85</v>
      </c>
      <c r="R66" s="78">
        <v>0.8</v>
      </c>
      <c r="S66" s="78">
        <v>0.85</v>
      </c>
      <c r="T66" s="78">
        <v>31.5</v>
      </c>
      <c r="U66" s="77">
        <v>0.8</v>
      </c>
      <c r="V66" s="71"/>
      <c r="W66" s="40"/>
      <c r="X66" s="71"/>
      <c r="Y66" s="40"/>
      <c r="Z66" s="71"/>
      <c r="AA66" s="40"/>
      <c r="AB66" s="71"/>
    </row>
    <row r="67" spans="10:28" ht="16.5" customHeight="1">
      <c r="J67" s="198">
        <f t="shared" si="0"/>
        <v>56</v>
      </c>
      <c r="K67" s="211" t="s">
        <v>150</v>
      </c>
      <c r="L67" s="66" t="s">
        <v>151</v>
      </c>
      <c r="M67" s="62">
        <v>2004</v>
      </c>
      <c r="N67" s="72">
        <v>0.65</v>
      </c>
      <c r="O67" s="70">
        <v>30.9</v>
      </c>
      <c r="P67" s="70">
        <v>0.65</v>
      </c>
      <c r="Q67" s="70">
        <v>0.65</v>
      </c>
      <c r="R67" s="70">
        <v>0.77</v>
      </c>
      <c r="S67" s="70">
        <v>0.65</v>
      </c>
      <c r="T67" s="70">
        <v>30.9</v>
      </c>
      <c r="U67" s="72">
        <v>0.77</v>
      </c>
      <c r="V67" s="71"/>
      <c r="W67" s="40"/>
      <c r="X67" s="71"/>
      <c r="Y67" s="40"/>
      <c r="Z67" s="71"/>
      <c r="AA67" s="40"/>
      <c r="AB67" s="71"/>
    </row>
    <row r="68" spans="10:28" ht="16.5" customHeight="1">
      <c r="J68" s="198">
        <f t="shared" si="0"/>
        <v>57</v>
      </c>
      <c r="K68" s="211" t="s">
        <v>152</v>
      </c>
      <c r="L68" s="66" t="s">
        <v>153</v>
      </c>
      <c r="M68" s="62">
        <v>2004</v>
      </c>
      <c r="N68" s="72">
        <v>0.34</v>
      </c>
      <c r="O68" s="70">
        <v>29.8</v>
      </c>
      <c r="P68" s="70">
        <v>0.34</v>
      </c>
      <c r="Q68" s="70">
        <v>0.34</v>
      </c>
      <c r="R68" s="70">
        <v>0.75</v>
      </c>
      <c r="S68" s="70">
        <v>0.34</v>
      </c>
      <c r="T68" s="70">
        <v>29.8</v>
      </c>
      <c r="U68" s="72">
        <v>0.75</v>
      </c>
      <c r="V68" s="71"/>
      <c r="W68" s="40"/>
      <c r="X68" s="71"/>
      <c r="Y68" s="40"/>
      <c r="Z68" s="71"/>
      <c r="AA68" s="40"/>
      <c r="AB68" s="71"/>
    </row>
    <row r="69" spans="10:28" ht="16.5" customHeight="1">
      <c r="J69" s="198">
        <f t="shared" si="0"/>
        <v>58</v>
      </c>
      <c r="K69" s="211" t="s">
        <v>154</v>
      </c>
      <c r="L69" s="66" t="s">
        <v>155</v>
      </c>
      <c r="M69" s="62">
        <v>2004</v>
      </c>
      <c r="N69" s="72">
        <v>1</v>
      </c>
      <c r="O69" s="70">
        <v>29.9</v>
      </c>
      <c r="P69" s="70">
        <v>1</v>
      </c>
      <c r="Q69" s="70">
        <v>1</v>
      </c>
      <c r="R69" s="70">
        <v>0.73</v>
      </c>
      <c r="S69" s="70">
        <v>1</v>
      </c>
      <c r="T69" s="70">
        <v>29.9</v>
      </c>
      <c r="U69" s="72">
        <v>0.73</v>
      </c>
      <c r="V69" s="71"/>
      <c r="W69" s="40"/>
      <c r="X69" s="71"/>
      <c r="Y69" s="40"/>
      <c r="Z69" s="71"/>
      <c r="AA69" s="40"/>
      <c r="AB69" s="71"/>
    </row>
    <row r="70" spans="10:28" ht="16.5" customHeight="1">
      <c r="J70" s="198">
        <f t="shared" si="0"/>
        <v>59</v>
      </c>
      <c r="K70" s="135"/>
      <c r="L70" s="66"/>
      <c r="M70" s="136"/>
      <c r="N70" s="137"/>
      <c r="O70" s="138"/>
      <c r="P70" s="138"/>
      <c r="Q70" s="138"/>
      <c r="R70" s="138"/>
      <c r="S70" s="70"/>
      <c r="T70" s="138"/>
      <c r="U70" s="137"/>
      <c r="V70" s="71"/>
      <c r="W70" s="40"/>
      <c r="X70" s="71"/>
      <c r="Y70" s="40"/>
      <c r="Z70" s="71"/>
      <c r="AA70" s="40"/>
      <c r="AB70" s="71"/>
    </row>
    <row r="71" spans="10:28" ht="16.5" customHeight="1">
      <c r="J71" s="198">
        <f t="shared" si="0"/>
        <v>60</v>
      </c>
      <c r="K71" s="74"/>
      <c r="L71" s="75"/>
      <c r="M71" s="96"/>
      <c r="N71" s="77"/>
      <c r="O71" s="78"/>
      <c r="P71" s="78"/>
      <c r="Q71" s="78"/>
      <c r="R71" s="78"/>
      <c r="S71" s="78"/>
      <c r="T71" s="78"/>
      <c r="U71" s="77"/>
      <c r="V71" s="71"/>
      <c r="W71" s="40"/>
      <c r="X71" s="71"/>
      <c r="Y71" s="40"/>
      <c r="Z71" s="71"/>
      <c r="AA71" s="40"/>
      <c r="AB71" s="71"/>
    </row>
    <row r="72" spans="10:28" ht="16.5" customHeight="1">
      <c r="J72" s="198">
        <f t="shared" si="0"/>
        <v>61</v>
      </c>
      <c r="K72" s="205" t="s">
        <v>156</v>
      </c>
      <c r="L72" s="75" t="s">
        <v>157</v>
      </c>
      <c r="M72" s="96">
        <v>2004</v>
      </c>
      <c r="N72" s="77">
        <v>0.61</v>
      </c>
      <c r="O72" s="78">
        <v>30.7</v>
      </c>
      <c r="P72" s="78">
        <v>0.61</v>
      </c>
      <c r="Q72" s="78">
        <v>0.61</v>
      </c>
      <c r="R72" s="78">
        <v>0.69</v>
      </c>
      <c r="S72" s="78">
        <v>0.61</v>
      </c>
      <c r="T72" s="78">
        <v>30.7</v>
      </c>
      <c r="U72" s="77">
        <v>0.69</v>
      </c>
      <c r="V72" s="71"/>
      <c r="W72" s="40"/>
      <c r="X72" s="71"/>
      <c r="Y72" s="40"/>
      <c r="Z72" s="71"/>
      <c r="AA72" s="40"/>
      <c r="AB72" s="71"/>
    </row>
    <row r="73" spans="10:28" ht="16.5" customHeight="1">
      <c r="J73" s="198">
        <f t="shared" si="0"/>
        <v>62</v>
      </c>
      <c r="K73" s="210" t="s">
        <v>158</v>
      </c>
      <c r="L73" s="75" t="s">
        <v>159</v>
      </c>
      <c r="M73" s="96">
        <v>2004</v>
      </c>
      <c r="N73" s="77">
        <v>0.73</v>
      </c>
      <c r="O73" s="78">
        <v>30.2</v>
      </c>
      <c r="P73" s="78">
        <v>0.73</v>
      </c>
      <c r="Q73" s="78">
        <v>0.73</v>
      </c>
      <c r="R73" s="78">
        <v>0.83</v>
      </c>
      <c r="S73" s="78">
        <v>0.73</v>
      </c>
      <c r="T73" s="78">
        <v>30.2</v>
      </c>
      <c r="U73" s="77">
        <v>0.83</v>
      </c>
      <c r="V73" s="71"/>
      <c r="W73" s="40"/>
      <c r="X73" s="71"/>
      <c r="Y73" s="40"/>
      <c r="Z73" s="71"/>
      <c r="AA73" s="40"/>
      <c r="AB73" s="71"/>
    </row>
    <row r="74" spans="10:28" ht="16.5" customHeight="1">
      <c r="J74" s="198">
        <f t="shared" si="0"/>
        <v>63</v>
      </c>
      <c r="K74" s="74"/>
      <c r="L74" s="75"/>
      <c r="M74" s="96"/>
      <c r="N74" s="77"/>
      <c r="O74" s="78"/>
      <c r="P74" s="78"/>
      <c r="Q74" s="78"/>
      <c r="R74" s="78"/>
      <c r="S74" s="78"/>
      <c r="T74" s="78"/>
      <c r="U74" s="77"/>
      <c r="V74" s="71"/>
      <c r="W74" s="40"/>
      <c r="X74" s="71"/>
      <c r="Y74" s="40"/>
      <c r="Z74" s="71"/>
      <c r="AA74" s="40"/>
      <c r="AB74" s="71"/>
    </row>
    <row r="75" spans="10:28" ht="16.5" customHeight="1">
      <c r="J75" s="198">
        <f t="shared" si="0"/>
        <v>64</v>
      </c>
      <c r="K75" s="65"/>
      <c r="L75" s="139"/>
      <c r="M75" s="94"/>
      <c r="N75" s="140"/>
      <c r="O75" s="141"/>
      <c r="P75" s="141"/>
      <c r="Q75" s="141"/>
      <c r="R75" s="141"/>
      <c r="S75" s="141"/>
      <c r="T75" s="141"/>
      <c r="U75" s="140"/>
      <c r="V75" s="71"/>
      <c r="W75" s="40"/>
      <c r="X75" s="71"/>
      <c r="Y75" s="40"/>
      <c r="Z75" s="71"/>
      <c r="AA75" s="40"/>
      <c r="AB75" s="71"/>
    </row>
    <row r="76" spans="10:28" ht="16.5" customHeight="1">
      <c r="J76" s="198">
        <f t="shared" si="0"/>
        <v>65</v>
      </c>
      <c r="K76" s="65"/>
      <c r="L76" s="139"/>
      <c r="M76" s="94"/>
      <c r="N76" s="140"/>
      <c r="O76" s="141"/>
      <c r="P76" s="141"/>
      <c r="Q76" s="141"/>
      <c r="R76" s="141"/>
      <c r="S76" s="141"/>
      <c r="T76" s="141"/>
      <c r="U76" s="140"/>
      <c r="V76" s="71"/>
      <c r="W76" s="40"/>
      <c r="X76" s="71"/>
      <c r="Y76" s="40"/>
      <c r="Z76" s="71"/>
      <c r="AA76" s="40"/>
      <c r="AB76" s="71"/>
    </row>
    <row r="77" spans="10:28" ht="16.5" customHeight="1">
      <c r="J77" s="198">
        <f t="shared" si="0"/>
        <v>66</v>
      </c>
      <c r="K77" s="134" t="s">
        <v>160</v>
      </c>
      <c r="L77" s="139" t="s">
        <v>161</v>
      </c>
      <c r="M77" s="94">
        <v>2004</v>
      </c>
      <c r="N77" s="140">
        <v>0.79</v>
      </c>
      <c r="O77" s="141">
        <v>31</v>
      </c>
      <c r="P77" s="141">
        <v>0.79</v>
      </c>
      <c r="Q77" s="141">
        <v>0.79</v>
      </c>
      <c r="R77" s="141">
        <v>0.43</v>
      </c>
      <c r="S77" s="141">
        <v>0.79</v>
      </c>
      <c r="T77" s="141">
        <v>31</v>
      </c>
      <c r="U77" s="140">
        <v>0.43</v>
      </c>
      <c r="V77" s="71"/>
      <c r="W77" s="40"/>
      <c r="X77" s="71"/>
      <c r="Y77" s="40"/>
      <c r="Z77" s="71"/>
      <c r="AA77" s="40"/>
      <c r="AB77" s="71"/>
    </row>
    <row r="78" spans="10:28" ht="16.5" customHeight="1">
      <c r="J78" s="198">
        <f t="shared" si="0"/>
        <v>67</v>
      </c>
      <c r="K78" s="134" t="s">
        <v>162</v>
      </c>
      <c r="L78" s="139" t="s">
        <v>163</v>
      </c>
      <c r="M78" s="94">
        <v>2004</v>
      </c>
      <c r="N78" s="140">
        <v>0.75</v>
      </c>
      <c r="O78" s="141">
        <v>31.3</v>
      </c>
      <c r="P78" s="141">
        <v>0.75</v>
      </c>
      <c r="Q78" s="141">
        <v>0.75</v>
      </c>
      <c r="R78" s="141">
        <v>0.92</v>
      </c>
      <c r="S78" s="141">
        <v>0.75</v>
      </c>
      <c r="T78" s="141">
        <v>31.3</v>
      </c>
      <c r="U78" s="140">
        <v>0.92</v>
      </c>
      <c r="V78" s="71"/>
      <c r="W78" s="40"/>
      <c r="X78" s="71"/>
      <c r="Y78" s="40"/>
      <c r="Z78" s="71"/>
      <c r="AA78" s="40"/>
      <c r="AB78" s="71"/>
    </row>
    <row r="79" spans="10:28" ht="16.5" customHeight="1">
      <c r="J79" s="198">
        <f t="shared" si="0"/>
        <v>68</v>
      </c>
      <c r="K79" s="74"/>
      <c r="L79" s="75"/>
      <c r="M79" s="96"/>
      <c r="N79" s="77"/>
      <c r="O79" s="78"/>
      <c r="P79" s="78"/>
      <c r="Q79" s="78"/>
      <c r="R79" s="78"/>
      <c r="S79" s="78"/>
      <c r="T79" s="78"/>
      <c r="U79" s="77"/>
      <c r="V79" s="71"/>
      <c r="W79" s="40"/>
      <c r="X79" s="71"/>
      <c r="Y79" s="40"/>
      <c r="Z79" s="71"/>
      <c r="AA79" s="40"/>
      <c r="AB79" s="71"/>
    </row>
    <row r="80" spans="10:28" ht="16.5" customHeight="1">
      <c r="J80" s="198">
        <f t="shared" si="0"/>
        <v>69</v>
      </c>
      <c r="K80" s="74"/>
      <c r="L80" s="75"/>
      <c r="M80" s="96"/>
      <c r="N80" s="77"/>
      <c r="O80" s="78"/>
      <c r="P80" s="78"/>
      <c r="Q80" s="78"/>
      <c r="R80" s="78"/>
      <c r="S80" s="78"/>
      <c r="T80" s="78"/>
      <c r="U80" s="77"/>
      <c r="V80" s="71"/>
      <c r="W80" s="40"/>
      <c r="X80" s="71"/>
      <c r="Y80" s="40"/>
      <c r="Z80" s="71"/>
      <c r="AA80" s="40"/>
      <c r="AB80" s="71"/>
    </row>
    <row r="81" spans="10:28" ht="16.5" customHeight="1">
      <c r="J81" s="198">
        <f t="shared" si="0"/>
        <v>70</v>
      </c>
      <c r="K81" s="74"/>
      <c r="L81" s="75"/>
      <c r="M81" s="96"/>
      <c r="N81" s="77"/>
      <c r="O81" s="78"/>
      <c r="P81" s="78"/>
      <c r="Q81" s="78"/>
      <c r="R81" s="78"/>
      <c r="S81" s="78"/>
      <c r="T81" s="78"/>
      <c r="U81" s="77"/>
      <c r="V81" s="71"/>
      <c r="W81" s="40"/>
      <c r="X81" s="71"/>
      <c r="Y81" s="40"/>
      <c r="Z81" s="71"/>
      <c r="AA81" s="40"/>
      <c r="AB81" s="71"/>
    </row>
    <row r="82" spans="10:28" ht="16.5" customHeight="1">
      <c r="J82" s="198">
        <f t="shared" si="0"/>
        <v>71</v>
      </c>
      <c r="K82" s="74"/>
      <c r="L82" s="75"/>
      <c r="M82" s="96"/>
      <c r="N82" s="77"/>
      <c r="O82" s="78"/>
      <c r="P82" s="78"/>
      <c r="Q82" s="78"/>
      <c r="R82" s="78"/>
      <c r="S82" s="78"/>
      <c r="T82" s="78"/>
      <c r="U82" s="77"/>
      <c r="V82" s="71"/>
      <c r="W82" s="40"/>
      <c r="X82" s="71"/>
      <c r="Y82" s="40"/>
      <c r="Z82" s="71"/>
      <c r="AA82" s="40"/>
      <c r="AB82" s="71"/>
    </row>
    <row r="83" spans="10:28" ht="16.5" customHeight="1">
      <c r="J83" s="198">
        <f t="shared" si="0"/>
        <v>72</v>
      </c>
      <c r="K83" s="134" t="s">
        <v>164</v>
      </c>
      <c r="L83" s="139" t="s">
        <v>165</v>
      </c>
      <c r="M83" s="94">
        <v>2005</v>
      </c>
      <c r="N83" s="140">
        <v>1.44</v>
      </c>
      <c r="O83" s="141">
        <v>29.4</v>
      </c>
      <c r="P83" s="141">
        <v>1.44</v>
      </c>
      <c r="Q83" s="141">
        <v>1.44</v>
      </c>
      <c r="R83" s="141">
        <v>0.72</v>
      </c>
      <c r="S83" s="141">
        <v>1.44</v>
      </c>
      <c r="T83" s="141">
        <v>29.4</v>
      </c>
      <c r="U83" s="140">
        <v>0.72</v>
      </c>
      <c r="V83" s="71"/>
      <c r="W83" s="40"/>
      <c r="X83" s="71"/>
      <c r="Y83" s="40"/>
      <c r="Z83" s="71"/>
      <c r="AA83" s="40"/>
      <c r="AB83" s="71"/>
    </row>
    <row r="84" spans="10:28" ht="16.5" customHeight="1">
      <c r="J84" s="198">
        <f t="shared" si="0"/>
        <v>73</v>
      </c>
      <c r="K84" s="134" t="s">
        <v>166</v>
      </c>
      <c r="L84" s="139" t="s">
        <v>167</v>
      </c>
      <c r="M84" s="94">
        <v>2004</v>
      </c>
      <c r="N84" s="140">
        <v>0.66</v>
      </c>
      <c r="O84" s="141">
        <v>31.3</v>
      </c>
      <c r="P84" s="141">
        <v>0.66</v>
      </c>
      <c r="Q84" s="141">
        <v>0.66</v>
      </c>
      <c r="R84" s="141">
        <v>0.75</v>
      </c>
      <c r="S84" s="141">
        <v>0.66</v>
      </c>
      <c r="T84" s="141">
        <v>31.3</v>
      </c>
      <c r="U84" s="140">
        <v>0.75</v>
      </c>
      <c r="V84" s="71"/>
      <c r="W84" s="40"/>
      <c r="X84" s="71"/>
      <c r="Y84" s="40"/>
      <c r="Z84" s="71"/>
      <c r="AA84" s="40"/>
      <c r="AB84" s="71"/>
    </row>
    <row r="85" spans="10:28" ht="16.5" customHeight="1">
      <c r="J85" s="198">
        <f t="shared" si="0"/>
        <v>74</v>
      </c>
      <c r="K85" s="134" t="s">
        <v>168</v>
      </c>
      <c r="L85" s="139" t="s">
        <v>169</v>
      </c>
      <c r="M85" s="94">
        <v>2004</v>
      </c>
      <c r="N85" s="140">
        <v>0.67</v>
      </c>
      <c r="O85" s="141">
        <v>32.9</v>
      </c>
      <c r="P85" s="141">
        <v>0.67</v>
      </c>
      <c r="Q85" s="141">
        <v>0.67</v>
      </c>
      <c r="R85" s="141">
        <v>0.89</v>
      </c>
      <c r="S85" s="141">
        <v>0.67</v>
      </c>
      <c r="T85" s="141">
        <v>32.9</v>
      </c>
      <c r="U85" s="140">
        <v>0.89</v>
      </c>
      <c r="V85" s="71"/>
      <c r="W85" s="40"/>
      <c r="X85" s="71"/>
      <c r="Y85" s="40"/>
      <c r="Z85" s="71"/>
      <c r="AA85" s="40"/>
      <c r="AB85" s="71"/>
    </row>
    <row r="86" spans="10:28" ht="16.5" customHeight="1">
      <c r="J86" s="198">
        <f t="shared" si="0"/>
        <v>75</v>
      </c>
      <c r="K86" s="65"/>
      <c r="L86" s="142"/>
      <c r="M86" s="94"/>
      <c r="N86" s="140"/>
      <c r="O86" s="141"/>
      <c r="P86" s="141"/>
      <c r="Q86" s="141"/>
      <c r="R86" s="141"/>
      <c r="S86" s="141"/>
      <c r="T86" s="141"/>
      <c r="U86" s="140"/>
      <c r="V86" s="71"/>
      <c r="W86" s="40"/>
      <c r="X86" s="71"/>
      <c r="Y86" s="40"/>
      <c r="Z86" s="71"/>
      <c r="AA86" s="40"/>
      <c r="AB86" s="71"/>
    </row>
    <row r="87" spans="10:28" ht="16.5" customHeight="1">
      <c r="J87" s="198">
        <f t="shared" si="0"/>
        <v>76</v>
      </c>
      <c r="K87" s="74"/>
      <c r="L87" s="143"/>
      <c r="M87" s="96"/>
      <c r="N87" s="77"/>
      <c r="O87" s="78"/>
      <c r="P87" s="78"/>
      <c r="Q87" s="78"/>
      <c r="R87" s="78"/>
      <c r="S87" s="78"/>
      <c r="T87" s="78"/>
      <c r="U87" s="77"/>
      <c r="V87" s="71"/>
      <c r="W87" s="40"/>
      <c r="X87" s="71"/>
      <c r="Y87" s="40"/>
      <c r="Z87" s="71"/>
      <c r="AA87" s="40"/>
      <c r="AB87" s="71"/>
    </row>
    <row r="88" spans="10:28" ht="16.5" customHeight="1">
      <c r="J88" s="198">
        <f t="shared" si="0"/>
        <v>77</v>
      </c>
      <c r="K88" s="74"/>
      <c r="L88" s="143"/>
      <c r="M88" s="96"/>
      <c r="N88" s="77"/>
      <c r="O88" s="78"/>
      <c r="P88" s="78"/>
      <c r="Q88" s="78"/>
      <c r="R88" s="78"/>
      <c r="S88" s="78"/>
      <c r="T88" s="78"/>
      <c r="U88" s="77"/>
      <c r="V88" s="71"/>
      <c r="W88" s="40"/>
      <c r="X88" s="71"/>
      <c r="Y88" s="40"/>
      <c r="Z88" s="71"/>
      <c r="AA88" s="40"/>
      <c r="AB88" s="71"/>
    </row>
    <row r="89" spans="10:28" ht="16.5" customHeight="1">
      <c r="J89" s="198">
        <f t="shared" si="0"/>
        <v>78</v>
      </c>
      <c r="K89" s="74"/>
      <c r="L89" s="143"/>
      <c r="M89" s="96"/>
      <c r="N89" s="77"/>
      <c r="O89" s="78"/>
      <c r="P89" s="78"/>
      <c r="Q89" s="78"/>
      <c r="R89" s="78"/>
      <c r="S89" s="78"/>
      <c r="T89" s="78"/>
      <c r="U89" s="77"/>
      <c r="V89" s="71"/>
      <c r="W89" s="40"/>
      <c r="X89" s="71"/>
      <c r="Y89" s="40"/>
      <c r="Z89" s="71"/>
      <c r="AA89" s="40"/>
      <c r="AB89" s="71"/>
    </row>
    <row r="90" spans="10:28" ht="16.5" customHeight="1">
      <c r="J90" s="198">
        <f t="shared" si="0"/>
        <v>79</v>
      </c>
      <c r="K90" s="74"/>
      <c r="L90" s="143"/>
      <c r="M90" s="96"/>
      <c r="N90" s="77"/>
      <c r="O90" s="78"/>
      <c r="P90" s="78"/>
      <c r="Q90" s="78"/>
      <c r="R90" s="78"/>
      <c r="S90" s="78"/>
      <c r="T90" s="78"/>
      <c r="U90" s="77"/>
      <c r="V90" s="71"/>
      <c r="W90" s="40"/>
      <c r="X90" s="71"/>
      <c r="Y90" s="40"/>
      <c r="Z90" s="71"/>
      <c r="AA90" s="40"/>
      <c r="AB90" s="71"/>
    </row>
    <row r="91" spans="10:28" ht="16.5" customHeight="1">
      <c r="J91" s="198">
        <f t="shared" si="0"/>
        <v>80</v>
      </c>
      <c r="K91" s="65"/>
      <c r="L91" s="142"/>
      <c r="M91" s="94"/>
      <c r="N91" s="140"/>
      <c r="O91" s="141"/>
      <c r="P91" s="141"/>
      <c r="Q91" s="141"/>
      <c r="R91" s="141"/>
      <c r="S91" s="141"/>
      <c r="T91" s="141"/>
      <c r="U91" s="140"/>
      <c r="V91" s="71"/>
      <c r="W91" s="40"/>
      <c r="X91" s="71"/>
      <c r="Y91" s="40"/>
      <c r="Z91" s="71"/>
      <c r="AA91" s="40"/>
      <c r="AB91" s="71"/>
    </row>
    <row r="92" spans="10:28" ht="16.5" customHeight="1">
      <c r="J92" s="198">
        <f t="shared" si="0"/>
        <v>81</v>
      </c>
      <c r="K92" s="65"/>
      <c r="L92" s="142"/>
      <c r="M92" s="94"/>
      <c r="N92" s="140"/>
      <c r="O92" s="141"/>
      <c r="P92" s="141"/>
      <c r="Q92" s="141"/>
      <c r="R92" s="141"/>
      <c r="S92" s="141"/>
      <c r="T92" s="141"/>
      <c r="U92" s="140"/>
      <c r="V92" s="71"/>
      <c r="W92" s="40"/>
      <c r="X92" s="71"/>
      <c r="Y92" s="40"/>
      <c r="Z92" s="71"/>
      <c r="AA92" s="40"/>
      <c r="AB92" s="71"/>
    </row>
    <row r="93" spans="10:28" ht="16.5" customHeight="1">
      <c r="J93" s="198">
        <f>1+J92</f>
        <v>82</v>
      </c>
      <c r="K93" s="144"/>
      <c r="L93" s="142"/>
      <c r="M93" s="145"/>
      <c r="N93" s="140"/>
      <c r="O93" s="146"/>
      <c r="P93" s="141"/>
      <c r="Q93" s="141"/>
      <c r="R93" s="146"/>
      <c r="S93" s="141"/>
      <c r="T93" s="141"/>
      <c r="U93" s="140"/>
      <c r="V93" s="71"/>
      <c r="W93" s="40"/>
      <c r="X93" s="71"/>
      <c r="Y93" s="40"/>
      <c r="Z93" s="71"/>
      <c r="AA93" s="40"/>
      <c r="AB93" s="71"/>
    </row>
    <row r="94" spans="10:28" ht="16.5" customHeight="1" thickBot="1">
      <c r="J94" s="198">
        <f>1+J93</f>
        <v>83</v>
      </c>
      <c r="K94" s="147"/>
      <c r="L94" s="148"/>
      <c r="M94" s="149"/>
      <c r="N94" s="150"/>
      <c r="O94" s="151"/>
      <c r="P94" s="152"/>
      <c r="Q94" s="152"/>
      <c r="R94" s="153"/>
      <c r="S94" s="152"/>
      <c r="T94" s="154"/>
      <c r="U94" s="150"/>
      <c r="V94" s="155"/>
      <c r="W94" s="40"/>
      <c r="X94" s="156"/>
      <c r="Y94" s="40"/>
      <c r="Z94" s="156"/>
      <c r="AA94" s="40"/>
      <c r="AB94" s="156"/>
    </row>
    <row r="95" spans="12:28" ht="16.5" customHeight="1">
      <c r="L95" s="157" t="s">
        <v>170</v>
      </c>
      <c r="M95" s="158"/>
      <c r="N95" s="159">
        <f aca="true" t="shared" si="1" ref="N95:U95">MIN(N12:N93)</f>
        <v>0.31</v>
      </c>
      <c r="O95" s="159">
        <f t="shared" si="1"/>
        <v>13.7</v>
      </c>
      <c r="P95" s="159">
        <f t="shared" si="1"/>
        <v>0.31</v>
      </c>
      <c r="Q95" s="159">
        <f t="shared" si="1"/>
        <v>0.31</v>
      </c>
      <c r="R95" s="159">
        <f t="shared" si="1"/>
        <v>0.43</v>
      </c>
      <c r="S95" s="159">
        <f t="shared" si="1"/>
        <v>0.31</v>
      </c>
      <c r="T95" s="159">
        <f t="shared" si="1"/>
        <v>0.09</v>
      </c>
      <c r="U95" s="159">
        <f t="shared" si="1"/>
        <v>0.43</v>
      </c>
      <c r="V95" s="40"/>
      <c r="W95" s="40"/>
      <c r="X95" s="42"/>
      <c r="Y95" s="40"/>
      <c r="Z95" s="42"/>
      <c r="AA95" s="40"/>
      <c r="AB95" s="42"/>
    </row>
    <row r="96" spans="12:28" ht="13.5" thickBot="1">
      <c r="L96" s="160" t="s">
        <v>171</v>
      </c>
      <c r="M96" s="161"/>
      <c r="N96" s="162">
        <f aca="true" t="shared" si="2" ref="N96:U96">MAX(N12:N93)</f>
        <v>91</v>
      </c>
      <c r="O96" s="162">
        <f t="shared" si="2"/>
        <v>34.4</v>
      </c>
      <c r="P96" s="162">
        <f t="shared" si="2"/>
        <v>20.6</v>
      </c>
      <c r="Q96" s="162">
        <f t="shared" si="2"/>
        <v>16.7</v>
      </c>
      <c r="R96" s="162">
        <f t="shared" si="2"/>
        <v>1.55</v>
      </c>
      <c r="S96" s="162">
        <f t="shared" si="2"/>
        <v>1.44</v>
      </c>
      <c r="T96" s="162">
        <f t="shared" si="2"/>
        <v>32.9</v>
      </c>
      <c r="U96" s="162">
        <f t="shared" si="2"/>
        <v>132</v>
      </c>
      <c r="V96" s="40"/>
      <c r="W96" s="40"/>
      <c r="X96" s="42"/>
      <c r="Y96" s="40"/>
      <c r="Z96" s="42"/>
      <c r="AA96" s="40"/>
      <c r="AB96" s="42"/>
    </row>
    <row r="104" ht="12.75">
      <c r="S104" s="22" t="s">
        <v>172</v>
      </c>
    </row>
    <row r="129" ht="12.75"/>
    <row r="130" ht="12.75"/>
    <row r="131" ht="6" customHeight="1"/>
    <row r="132" spans="2:3" ht="55.5" customHeight="1">
      <c r="B132" s="163">
        <f>B4</f>
        <v>0</v>
      </c>
      <c r="C132" s="163"/>
    </row>
    <row r="133" spans="2:3" ht="18">
      <c r="B133" s="163"/>
      <c r="C133" s="163" t="str">
        <f>G4</f>
        <v>Phosphorus and Nitrogen Excretion</v>
      </c>
    </row>
    <row r="134" spans="2:3" ht="18">
      <c r="B134" s="163"/>
      <c r="C134" s="163"/>
    </row>
    <row r="135" spans="2:10" ht="6" customHeight="1">
      <c r="B135" s="164"/>
      <c r="C135" s="164"/>
      <c r="D135" s="165"/>
      <c r="E135" s="165"/>
      <c r="F135" s="165"/>
      <c r="G135" s="165"/>
      <c r="H135" s="165"/>
      <c r="I135" s="165"/>
      <c r="J135" s="165"/>
    </row>
    <row r="136" spans="2:10" ht="12.75">
      <c r="B136" s="166"/>
      <c r="C136" s="166"/>
      <c r="D136" s="166"/>
      <c r="E136" s="166"/>
      <c r="F136" s="166"/>
      <c r="G136" s="166"/>
      <c r="H136" s="166"/>
      <c r="I136" s="166"/>
      <c r="J136" s="166"/>
    </row>
    <row r="137" spans="2:10" ht="15.75">
      <c r="B137" s="167" t="s">
        <v>5</v>
      </c>
      <c r="C137" s="168"/>
      <c r="D137" s="168"/>
      <c r="E137" s="168"/>
      <c r="F137" s="169" t="s">
        <v>173</v>
      </c>
      <c r="G137" s="168"/>
      <c r="H137" s="169" t="s">
        <v>174</v>
      </c>
      <c r="I137" s="168"/>
      <c r="J137" s="166"/>
    </row>
    <row r="138" spans="2:10" ht="12.75">
      <c r="B138" s="170" t="s">
        <v>14</v>
      </c>
      <c r="C138" s="168"/>
      <c r="D138" s="168"/>
      <c r="E138" s="168"/>
      <c r="F138" s="171"/>
      <c r="G138" s="168"/>
      <c r="H138" s="171"/>
      <c r="I138" s="168"/>
      <c r="J138" s="166"/>
    </row>
    <row r="139" spans="2:10" ht="12.75">
      <c r="B139" s="168" t="s">
        <v>26</v>
      </c>
      <c r="C139" s="168"/>
      <c r="D139" s="168"/>
      <c r="E139" s="168"/>
      <c r="F139" s="172">
        <f>F12</f>
        <v>100</v>
      </c>
      <c r="G139" s="173" t="s">
        <v>27</v>
      </c>
      <c r="H139" s="172">
        <f aca="true" t="shared" si="3" ref="H139:H146">H12</f>
        <v>250</v>
      </c>
      <c r="I139" s="173" t="s">
        <v>27</v>
      </c>
      <c r="J139" s="166"/>
    </row>
    <row r="140" spans="2:10" ht="12.75">
      <c r="B140" s="168" t="s">
        <v>30</v>
      </c>
      <c r="C140" s="168"/>
      <c r="D140" s="168"/>
      <c r="E140" s="168"/>
      <c r="F140" s="172">
        <f aca="true" t="shared" si="4" ref="F140:F146">F13</f>
        <v>500</v>
      </c>
      <c r="G140" s="173" t="s">
        <v>31</v>
      </c>
      <c r="H140" s="172">
        <f t="shared" si="3"/>
        <v>500</v>
      </c>
      <c r="I140" s="173" t="s">
        <v>31</v>
      </c>
      <c r="J140" s="166"/>
    </row>
    <row r="141" spans="2:10" ht="12.75">
      <c r="B141" s="168" t="s">
        <v>34</v>
      </c>
      <c r="C141" s="168"/>
      <c r="D141" s="168"/>
      <c r="E141" s="168"/>
      <c r="F141" s="172">
        <f t="shared" si="4"/>
        <v>1300</v>
      </c>
      <c r="G141" s="173" t="s">
        <v>31</v>
      </c>
      <c r="H141" s="172">
        <f t="shared" si="3"/>
        <v>1300</v>
      </c>
      <c r="I141" s="173" t="s">
        <v>31</v>
      </c>
      <c r="J141" s="166"/>
    </row>
    <row r="142" spans="2:10" ht="12.75">
      <c r="B142" s="168" t="s">
        <v>37</v>
      </c>
      <c r="C142" s="168"/>
      <c r="D142" s="168"/>
      <c r="E142" s="168"/>
      <c r="F142" s="172">
        <f t="shared" si="4"/>
        <v>210</v>
      </c>
      <c r="G142" s="168"/>
      <c r="H142" s="172">
        <f t="shared" si="3"/>
        <v>210</v>
      </c>
      <c r="I142" s="168"/>
      <c r="J142" s="166"/>
    </row>
    <row r="143" spans="2:10" ht="12.75">
      <c r="B143" s="168" t="s">
        <v>39</v>
      </c>
      <c r="C143" s="168"/>
      <c r="D143" s="168"/>
      <c r="E143" s="168"/>
      <c r="F143" s="172">
        <f t="shared" si="4"/>
        <v>22</v>
      </c>
      <c r="G143" s="173" t="s">
        <v>40</v>
      </c>
      <c r="H143" s="172">
        <f t="shared" si="3"/>
        <v>22</v>
      </c>
      <c r="I143" s="173" t="s">
        <v>40</v>
      </c>
      <c r="J143" s="166"/>
    </row>
    <row r="144" spans="2:10" ht="12.75">
      <c r="B144" s="168" t="s">
        <v>43</v>
      </c>
      <c r="C144" s="168"/>
      <c r="D144" s="168"/>
      <c r="E144" s="168"/>
      <c r="F144" s="172">
        <f t="shared" si="4"/>
        <v>12.6</v>
      </c>
      <c r="G144" s="173" t="s">
        <v>44</v>
      </c>
      <c r="H144" s="174">
        <f t="shared" si="3"/>
        <v>13.606</v>
      </c>
      <c r="I144" s="173" t="s">
        <v>44</v>
      </c>
      <c r="J144" s="166"/>
    </row>
    <row r="145" spans="2:10" ht="12.75">
      <c r="B145" s="168" t="s">
        <v>47</v>
      </c>
      <c r="C145" s="168"/>
      <c r="D145" s="168"/>
      <c r="E145" s="168"/>
      <c r="F145" s="172">
        <f t="shared" si="4"/>
        <v>0.35</v>
      </c>
      <c r="G145" s="173" t="s">
        <v>44</v>
      </c>
      <c r="H145" s="175">
        <f t="shared" si="3"/>
        <v>1.2433333333333332</v>
      </c>
      <c r="I145" s="173" t="s">
        <v>44</v>
      </c>
      <c r="J145" s="166"/>
    </row>
    <row r="146" spans="2:10" ht="12.75">
      <c r="B146" s="168" t="s">
        <v>49</v>
      </c>
      <c r="C146" s="168"/>
      <c r="D146" s="168"/>
      <c r="E146" s="168"/>
      <c r="F146" s="176">
        <f t="shared" si="4"/>
        <v>0</v>
      </c>
      <c r="G146" s="173" t="s">
        <v>44</v>
      </c>
      <c r="H146" s="176">
        <f t="shared" si="3"/>
        <v>20</v>
      </c>
      <c r="I146" s="173" t="s">
        <v>44</v>
      </c>
      <c r="J146" s="166"/>
    </row>
    <row r="147" spans="2:10" ht="6.75" customHeight="1">
      <c r="B147" s="168"/>
      <c r="C147" s="168"/>
      <c r="D147" s="168"/>
      <c r="E147" s="168"/>
      <c r="F147" s="177"/>
      <c r="G147" s="173"/>
      <c r="H147" s="177"/>
      <c r="I147" s="168"/>
      <c r="J147" s="166"/>
    </row>
    <row r="148" spans="2:10" ht="12.75">
      <c r="B148" s="170" t="s">
        <v>58</v>
      </c>
      <c r="C148" s="168"/>
      <c r="D148" s="168"/>
      <c r="E148" s="168"/>
      <c r="F148" s="168"/>
      <c r="G148" s="168"/>
      <c r="H148" s="168"/>
      <c r="I148" s="168"/>
      <c r="J148" s="166"/>
    </row>
    <row r="149" spans="2:10" ht="12.75">
      <c r="B149" s="168" t="s">
        <v>61</v>
      </c>
      <c r="C149" s="168"/>
      <c r="D149" s="168"/>
      <c r="E149" s="168"/>
      <c r="F149" s="178" t="str">
        <f>IF(F23=1,"warm+dry",IF(F23=2,"warm+damp",IF(F23=3,"cool+dry",IF(F23=4,"cool+damp","combination"))))</f>
        <v>cool+damp</v>
      </c>
      <c r="G149" s="168"/>
      <c r="H149" s="168"/>
      <c r="I149" s="168"/>
      <c r="J149" s="166"/>
    </row>
    <row r="150" spans="2:10" ht="6.75" customHeight="1">
      <c r="B150" s="168"/>
      <c r="C150" s="168"/>
      <c r="D150" s="168"/>
      <c r="E150" s="168"/>
      <c r="F150" s="168"/>
      <c r="G150" s="168"/>
      <c r="H150" s="168"/>
      <c r="I150" s="168"/>
      <c r="J150" s="166"/>
    </row>
    <row r="151" spans="2:10" ht="12.75">
      <c r="B151" s="168" t="s">
        <v>175</v>
      </c>
      <c r="C151" s="168"/>
      <c r="D151" s="168"/>
      <c r="E151" s="168"/>
      <c r="F151" s="179" t="str">
        <f>IF(F25=1,"open lots+minimal scraping",IF(F25=2,"open lots+frequent scraping",IF(F25=3,"roof+bedded pack","roof+deep pit")))</f>
        <v>open lots+minimal scraping</v>
      </c>
      <c r="G151" s="168"/>
      <c r="H151" s="178"/>
      <c r="I151" s="168"/>
      <c r="J151" s="166"/>
    </row>
    <row r="152" spans="2:10" ht="12.75">
      <c r="B152" s="168" t="s">
        <v>176</v>
      </c>
      <c r="C152" s="168"/>
      <c r="D152" s="168"/>
      <c r="E152" s="168"/>
      <c r="F152" s="168" t="str">
        <f>IF(H25=1,"open lots+minimal scraping",IF(H25=2,"open lots+frequent scraping",IF(H25=3,"roof+bedded pack","roof+deep pit")))</f>
        <v>open lots+minimal scraping</v>
      </c>
      <c r="G152" s="168"/>
      <c r="H152" s="168"/>
      <c r="I152" s="168"/>
      <c r="J152" s="166"/>
    </row>
    <row r="153" spans="2:10" ht="6.75" customHeight="1">
      <c r="B153" s="168"/>
      <c r="C153" s="168"/>
      <c r="D153" s="168"/>
      <c r="E153" s="168"/>
      <c r="F153" s="168"/>
      <c r="G153" s="168"/>
      <c r="H153" s="168"/>
      <c r="I153" s="168"/>
      <c r="J153" s="166"/>
    </row>
    <row r="154" spans="2:10" ht="12.75">
      <c r="B154" s="168" t="s">
        <v>177</v>
      </c>
      <c r="C154" s="168"/>
      <c r="D154" s="168"/>
      <c r="E154" s="168"/>
      <c r="F154" s="180" t="str">
        <f>IF(F28=1,"stack,no turning",IF(F28=2,"compost",IF(F28=3,"compost+extra carbon source",IF(F28=4,"runoff holding pond",IF(F28=5,"earthen pit",IF(F28=6,"formed storage-bottom load",IF(F28=8,"anaerobic lagoon",IF(F28=9,"earthen pit","stored in livestock facility"))))))))</f>
        <v>compost+extra carbon source</v>
      </c>
      <c r="G154" s="168"/>
      <c r="H154" s="178"/>
      <c r="I154" s="168"/>
      <c r="J154" s="166"/>
    </row>
    <row r="155" spans="2:10" ht="12.75">
      <c r="B155" s="168" t="s">
        <v>178</v>
      </c>
      <c r="C155" s="168"/>
      <c r="D155" s="168"/>
      <c r="E155" s="168"/>
      <c r="F155" s="168" t="str">
        <f>IF(H28=1,"stack,no turning",IF(H28=2,"compost",IF(H28=3,"compost+extra carbon source",IF(H28=4,"runoff holding pond",IF(H28=5,"earthen pit",IF(H28=6,"formed storage-bottom load",IF(H28=8,"anaerobic lagoon",IF(H28=9,"earthen pit","stored in livestock facility"))))))))</f>
        <v>anaerobic lagoon</v>
      </c>
      <c r="G155" s="168"/>
      <c r="H155" s="168"/>
      <c r="I155" s="168"/>
      <c r="J155" s="166"/>
    </row>
    <row r="156" spans="2:10" ht="6.75" customHeight="1">
      <c r="B156" s="168"/>
      <c r="C156" s="168"/>
      <c r="D156" s="168"/>
      <c r="E156" s="168"/>
      <c r="F156" s="168"/>
      <c r="G156" s="168"/>
      <c r="H156" s="168"/>
      <c r="I156" s="168"/>
      <c r="J156" s="166"/>
    </row>
    <row r="157" spans="2:10" ht="12.75" customHeight="1" thickBot="1">
      <c r="B157" s="168"/>
      <c r="C157" s="168"/>
      <c r="D157" s="168"/>
      <c r="E157" s="168"/>
      <c r="F157" s="168"/>
      <c r="G157" s="168"/>
      <c r="H157" s="168"/>
      <c r="I157" s="168"/>
      <c r="J157" s="166"/>
    </row>
    <row r="158" spans="2:10" ht="12.75" customHeight="1">
      <c r="B158" s="181" t="s">
        <v>179</v>
      </c>
      <c r="C158" s="182"/>
      <c r="D158" s="182"/>
      <c r="E158" s="183" t="s">
        <v>180</v>
      </c>
      <c r="F158" s="183"/>
      <c r="G158" s="184" t="s">
        <v>181</v>
      </c>
      <c r="H158" s="185" t="s">
        <v>182</v>
      </c>
      <c r="I158" s="168"/>
      <c r="J158" s="166"/>
    </row>
    <row r="159" spans="2:10" ht="12.75" customHeight="1" thickBot="1">
      <c r="B159" s="186" t="str">
        <f>VLOOKUP(H20,J12:K94,2)</f>
        <v>Golden Grain Energy LLC - DDG/S</v>
      </c>
      <c r="C159" s="187"/>
      <c r="D159" s="187"/>
      <c r="E159" s="188"/>
      <c r="F159" s="189">
        <f>VLOOKUP(H20,J12:R94,6)</f>
        <v>30.83</v>
      </c>
      <c r="G159" s="189">
        <f>VLOOKUP(H20,J12:R94,8)</f>
        <v>8.04</v>
      </c>
      <c r="H159" s="190">
        <f>VLOOKUP(H20,J12:S94,10)</f>
        <v>0.87</v>
      </c>
      <c r="I159" s="168"/>
      <c r="J159" s="166"/>
    </row>
    <row r="160" spans="2:10" ht="49.5" customHeight="1">
      <c r="B160" s="173" t="s">
        <v>93</v>
      </c>
      <c r="C160" s="168"/>
      <c r="D160" s="168"/>
      <c r="E160" s="168"/>
      <c r="F160" s="168"/>
      <c r="G160" s="168"/>
      <c r="H160" s="168"/>
      <c r="I160" s="168"/>
      <c r="J160" s="191"/>
    </row>
    <row r="161" spans="2:10" ht="15.75">
      <c r="B161" s="167" t="s">
        <v>90</v>
      </c>
      <c r="C161" s="168"/>
      <c r="D161" s="168"/>
      <c r="E161" s="168"/>
      <c r="F161" s="170" t="s">
        <v>173</v>
      </c>
      <c r="G161" s="168"/>
      <c r="H161" s="170" t="s">
        <v>174</v>
      </c>
      <c r="I161" s="168"/>
      <c r="J161" s="166"/>
    </row>
    <row r="162" spans="2:10" ht="12.75">
      <c r="B162" s="168" t="s">
        <v>95</v>
      </c>
      <c r="C162" s="168"/>
      <c r="D162" s="168"/>
      <c r="E162" s="168"/>
      <c r="F162" s="192">
        <f aca="true" t="shared" si="5" ref="F162:F168">F38</f>
        <v>12.578378365010384</v>
      </c>
      <c r="G162" s="173" t="s">
        <v>96</v>
      </c>
      <c r="H162" s="192">
        <f aca="true" t="shared" si="6" ref="H162:H168">H38</f>
        <v>53.85037836501038</v>
      </c>
      <c r="I162" s="173" t="s">
        <v>96</v>
      </c>
      <c r="J162" s="166"/>
    </row>
    <row r="163" spans="2:10" ht="12.75">
      <c r="B163" s="168"/>
      <c r="C163" s="193" t="s">
        <v>98</v>
      </c>
      <c r="D163" s="168" t="s">
        <v>99</v>
      </c>
      <c r="E163" s="168"/>
      <c r="F163" s="194">
        <f t="shared" si="5"/>
        <v>0.6289189182505192</v>
      </c>
      <c r="G163" s="173" t="s">
        <v>100</v>
      </c>
      <c r="H163" s="194">
        <f t="shared" si="6"/>
        <v>6.731297295626297</v>
      </c>
      <c r="I163" s="173" t="s">
        <v>100</v>
      </c>
      <c r="J163" s="166"/>
    </row>
    <row r="164" spans="2:10" ht="12.75">
      <c r="B164" s="168" t="s">
        <v>183</v>
      </c>
      <c r="C164" s="168"/>
      <c r="D164" s="168" t="s">
        <v>103</v>
      </c>
      <c r="E164" s="168"/>
      <c r="F164" s="194">
        <f t="shared" si="5"/>
        <v>28.80448645587378</v>
      </c>
      <c r="G164" s="173" t="s">
        <v>96</v>
      </c>
      <c r="H164" s="194">
        <f t="shared" si="6"/>
        <v>123.31736645587377</v>
      </c>
      <c r="I164" s="173" t="s">
        <v>96</v>
      </c>
      <c r="J164" s="166"/>
    </row>
    <row r="165" spans="2:10" ht="12.75">
      <c r="B165" s="168"/>
      <c r="C165" s="193" t="s">
        <v>98</v>
      </c>
      <c r="D165" s="168" t="s">
        <v>99</v>
      </c>
      <c r="E165" s="168"/>
      <c r="F165" s="194">
        <f t="shared" si="5"/>
        <v>1.4402243227936888</v>
      </c>
      <c r="G165" s="173" t="s">
        <v>100</v>
      </c>
      <c r="H165" s="194">
        <f t="shared" si="6"/>
        <v>15.41467080698422</v>
      </c>
      <c r="I165" s="173" t="s">
        <v>100</v>
      </c>
      <c r="J165" s="166"/>
    </row>
    <row r="166" spans="2:10" ht="12.75">
      <c r="B166" s="168"/>
      <c r="C166" s="168"/>
      <c r="D166" s="168"/>
      <c r="E166" s="168"/>
      <c r="F166" s="194">
        <f t="shared" si="5"/>
        <v>0</v>
      </c>
      <c r="G166" s="168"/>
      <c r="H166" s="194">
        <f t="shared" si="6"/>
        <v>0</v>
      </c>
      <c r="I166" s="168"/>
      <c r="J166" s="166"/>
    </row>
    <row r="167" spans="2:10" ht="12.75">
      <c r="B167" s="168" t="s">
        <v>110</v>
      </c>
      <c r="C167" s="168"/>
      <c r="D167" s="168"/>
      <c r="E167" s="168"/>
      <c r="F167" s="194">
        <f t="shared" si="5"/>
        <v>78.2744038127579</v>
      </c>
      <c r="G167" s="173" t="s">
        <v>96</v>
      </c>
      <c r="H167" s="194">
        <f t="shared" si="6"/>
        <v>85.71075581275791</v>
      </c>
      <c r="I167" s="173" t="s">
        <v>96</v>
      </c>
      <c r="J167" s="166"/>
    </row>
    <row r="168" spans="2:10" ht="12.75">
      <c r="B168" s="168"/>
      <c r="C168" s="193" t="s">
        <v>98</v>
      </c>
      <c r="D168" s="195" t="s">
        <v>112</v>
      </c>
      <c r="E168" s="168"/>
      <c r="F168" s="194">
        <f t="shared" si="5"/>
        <v>3.913720190637895</v>
      </c>
      <c r="G168" s="173" t="s">
        <v>100</v>
      </c>
      <c r="H168" s="194">
        <f t="shared" si="6"/>
        <v>10.713844476594739</v>
      </c>
      <c r="I168" s="173" t="s">
        <v>100</v>
      </c>
      <c r="J168" s="166"/>
    </row>
    <row r="169" spans="2:10" ht="12.75">
      <c r="B169" s="168" t="s">
        <v>114</v>
      </c>
      <c r="C169" s="168"/>
      <c r="D169" s="168"/>
      <c r="E169" s="168"/>
      <c r="F169" s="194">
        <f>F45*100</f>
        <v>49.50000000000001</v>
      </c>
      <c r="G169" s="173" t="s">
        <v>44</v>
      </c>
      <c r="H169" s="194">
        <f>H45*100</f>
        <v>13.750000000000002</v>
      </c>
      <c r="I169" s="173" t="s">
        <v>44</v>
      </c>
      <c r="J169" s="166"/>
    </row>
    <row r="170" spans="2:10" ht="12.75">
      <c r="B170" s="168" t="s">
        <v>184</v>
      </c>
      <c r="C170" s="168"/>
      <c r="D170" s="168"/>
      <c r="E170" s="168"/>
      <c r="F170" s="194">
        <f>F46</f>
        <v>38.74582988731516</v>
      </c>
      <c r="G170" s="173" t="s">
        <v>96</v>
      </c>
      <c r="H170" s="194">
        <f>H46</f>
        <v>11.785228924254213</v>
      </c>
      <c r="I170" s="173" t="s">
        <v>96</v>
      </c>
      <c r="J170" s="166"/>
    </row>
    <row r="171" spans="2:10" ht="12.75">
      <c r="B171" s="168"/>
      <c r="C171" s="193" t="s">
        <v>98</v>
      </c>
      <c r="D171" s="168" t="s">
        <v>185</v>
      </c>
      <c r="E171" s="168"/>
      <c r="F171" s="196">
        <f>F47</f>
        <v>1.9372914943657582</v>
      </c>
      <c r="G171" s="173" t="s">
        <v>100</v>
      </c>
      <c r="H171" s="196">
        <f>H47</f>
        <v>1.4731536155317766</v>
      </c>
      <c r="I171" s="173" t="s">
        <v>100</v>
      </c>
      <c r="J171" s="166"/>
    </row>
    <row r="172" spans="2:9" ht="12.75">
      <c r="B172" s="197"/>
      <c r="C172" s="197"/>
      <c r="D172" s="197"/>
      <c r="E172" s="197"/>
      <c r="F172" s="197"/>
      <c r="G172" s="197"/>
      <c r="H172" s="197"/>
      <c r="I172" s="197"/>
    </row>
  </sheetData>
  <sheetProtection password="86A6" sheet="1" objects="1" scenarios="1"/>
  <hyperlinks>
    <hyperlink ref="K83" r:id="rId1" display="http://www.ddgs.umn.edu/profiles/profiles10-dakota_ethanol.pdf"/>
    <hyperlink ref="K84" r:id="rId2" display="http://www.ddgs.umn.edu/profiles/profiles10-glacial_lakes.pdf"/>
    <hyperlink ref="K85" r:id="rId3" display="http://www.ddgs.umn.edu/profiles/profiles10-verasun-aurora.pdf"/>
    <hyperlink ref="K13" r:id="rId4" display="AGP"/>
    <hyperlink ref="K14" r:id="rId5" display="Amaizing Energy - DDG/S"/>
    <hyperlink ref="K15" r:id="rId6" display="Amaizing Energy - MDG/S"/>
    <hyperlink ref="K16" r:id="rId7" display="Amaizing Energy - CCDS"/>
    <hyperlink ref="K17" r:id="rId8" display="Big River Resources LLC - DDG/S"/>
    <hyperlink ref="K17:K18" r:id="rId9" display="Big River Resources LLC - DDG/S"/>
    <hyperlink ref="K19" r:id="rId10" display="Corn LP - DDG/S"/>
    <hyperlink ref="K20" r:id="rId11" display="Corn LP - MDG/S"/>
    <hyperlink ref="K21" r:id="rId12" display="Frontier Ethanol LLC"/>
    <hyperlink ref="K22" r:id="rId13" display="Golden Grain Energy LLC - DDG/S"/>
    <hyperlink ref="K23" r:id="rId14" display="Golden Grain Energy LLC - MDG/S"/>
    <hyperlink ref="K24" r:id="rId15" display="Green Plains Renewable Energy"/>
    <hyperlink ref="K25" r:id="rId16" display="Green Plains Renewable Energy"/>
    <hyperlink ref="K26" r:id="rId17" display="Grain Processing Corp"/>
    <hyperlink ref="K27" r:id="rId18" display="Hawkeye Renewables"/>
    <hyperlink ref="K28" r:id="rId19" display="Hawkeye Renewables"/>
    <hyperlink ref="K29" r:id="rId20" display="Horizon Ethanol"/>
    <hyperlink ref="K30" r:id="rId21" display="Iowa Ethanol LLC"/>
    <hyperlink ref="K31" r:id="rId22" display="Lincolnway Energy - DDG/S"/>
    <hyperlink ref="K32" r:id="rId23" display="Little Sioux Corn Processors - DDG/S"/>
    <hyperlink ref="K33" r:id="rId24" display="Little Sioux Corn Processors MDG/S"/>
    <hyperlink ref="K34" r:id="rId25" display="Little Sioux Corn Processors - CCDS"/>
    <hyperlink ref="K36" r:id="rId26" display="Midwest Grain Processors Coop - DDG/S"/>
    <hyperlink ref="K37" r:id="rId27" display="Midwest Grain Processors Coop - WDG/S"/>
    <hyperlink ref="K38" r:id="rId28" display="Midwest Grain Processors Coop - MDG/S"/>
    <hyperlink ref="K39" r:id="rId29" display="Midwest Grain Processors Coop - CCDS"/>
    <hyperlink ref="K40" r:id="rId30" display="Otter Creek Ethanol LLC"/>
    <hyperlink ref="K41" r:id="rId31" display="Pine Lake Corn Processors LLC"/>
    <hyperlink ref="K42" r:id="rId32" display="Quad-County Corn Processors - DDG"/>
    <hyperlink ref="K43" r:id="rId33" display="Quad-County Corn Processors - WDG"/>
    <hyperlink ref="K44" r:id="rId34" display="Quad-County Corn Processors - CCDS"/>
    <hyperlink ref="K45" r:id="rId35" display="Siouxland Energy and Lvstk.LLC - WDG/S"/>
    <hyperlink ref="K46" r:id="rId36" display="Siouxland Energy and Lvstk.LLC - CCDS"/>
    <hyperlink ref="K47" r:id="rId37" display="Tall Corn Ethanol LLC"/>
    <hyperlink ref="K48" r:id="rId38" display="U.S. Bio Energy"/>
    <hyperlink ref="K49" r:id="rId39" display="VeraSun"/>
    <hyperlink ref="K50" r:id="rId40" display="VeraSun - DDG/S"/>
    <hyperlink ref="K51" r:id="rId41" display="VeraSun - MDG/S"/>
    <hyperlink ref="K52" r:id="rId42" display="Voyager Ethanol"/>
    <hyperlink ref="K53" r:id="rId43" display="Xethanol - WDG/S"/>
    <hyperlink ref="K56" r:id="rId44" display="Adkins Energy LLC"/>
    <hyperlink ref="K58" r:id="rId45" display="Lincolnland Agri-Energy LLC"/>
    <hyperlink ref="K59" r:id="rId46" display="MGP Ingredients Inc"/>
    <hyperlink ref="K62" r:id="rId47" display="Agri-Energy LLC"/>
    <hyperlink ref="K63" r:id="rId48" display="Al-Corn Clean Fuel"/>
    <hyperlink ref="K64" r:id="rId49" display="Central Minnesota Ethanol Coop"/>
    <hyperlink ref="K65" r:id="rId50" display="Chippewa Valley Ethanol Co LLLP"/>
    <hyperlink ref="K72" r:id="rId51" display="Golden Triangle Energy"/>
  </hyperlinks>
  <printOptions/>
  <pageMargins left="0.75" right="0.75" top="1" bottom="1" header="0.5" footer="0.5"/>
  <pageSetup orientation="portrait" r:id="rId53"/>
  <drawing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Garland RJ Dahlke</dc:creator>
  <cp:keywords/>
  <dc:description/>
  <cp:lastModifiedBy>Rachel Martin`</cp:lastModifiedBy>
  <dcterms:created xsi:type="dcterms:W3CDTF">2006-11-13T15:10:03Z</dcterms:created>
  <dcterms:modified xsi:type="dcterms:W3CDTF">2006-11-13T17:05:24Z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